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980" yWindow="0" windowWidth="15570" windowHeight="9330" tabRatio="867"/>
  </bookViews>
  <sheets>
    <sheet name="Introduction" sheetId="1" r:id="rId1"/>
    <sheet name="FT15.Index" sheetId="2" r:id="rId2"/>
    <sheet name="FT15.Participant" sheetId="3" r:id="rId3"/>
    <sheet name="Baseline" sheetId="4" r:id="rId4"/>
    <sheet name="BCR" sheetId="5" r:id="rId5"/>
    <sheet name="BCR.Balance sheet" sheetId="6" r:id="rId6"/>
    <sheet name="BCR.Capital resources" sheetId="7" r:id="rId7"/>
    <sheet name="FT15.Financial Instruments" sheetId="8" r:id="rId8"/>
    <sheet name="FT15.Non-Paid-Up Cap Resources" sheetId="9" r:id="rId9"/>
    <sheet name="ICS" sheetId="10" r:id="rId10"/>
    <sheet name="ICS.Non-Life type risk" sheetId="11" r:id="rId11"/>
    <sheet name="ICS.Catastrophe" sheetId="12" r:id="rId12"/>
    <sheet name="ICS.Life type risk" sheetId="13" r:id="rId13"/>
    <sheet name="ICS.Market risk" sheetId="14" r:id="rId14"/>
    <sheet name="ICS.Market.Interest rate" sheetId="15" r:id="rId15"/>
    <sheet name="ICS.Market.Equity" sheetId="16" r:id="rId16"/>
    <sheet name="ICS.Market.Real estate" sheetId="17" r:id="rId17"/>
    <sheet name="ICS.Market.Currency" sheetId="18" r:id="rId18"/>
    <sheet name="ICS.Market.Asset concentration" sheetId="19" r:id="rId19"/>
    <sheet name="ICS.Credit risk" sheetId="20" r:id="rId20"/>
    <sheet name="ICS.Operational risk" sheetId="21" r:id="rId21"/>
    <sheet name="ICS.Supplementary Info.Lapse" sheetId="22" r:id="rId22"/>
    <sheet name="ICS.Supplementary Info.Expense" sheetId="23" r:id="rId23"/>
    <sheet name="ICS.Balance sheet" sheetId="24" r:id="rId24"/>
    <sheet name="ICS.Transfer-MOCE" sheetId="25" r:id="rId25"/>
    <sheet name="ICS.Prudence-MOCE" sheetId="26" r:id="rId26"/>
    <sheet name="ICS.Capital resources" sheetId="27" r:id="rId27"/>
    <sheet name="ICS.Liabilities reconciliation" sheetId="28" r:id="rId28"/>
    <sheet name="ICS.Non Life.G+" sheetId="29" r:id="rId29"/>
    <sheet name="ICS.Mortality.G+" sheetId="30" r:id="rId30"/>
    <sheet name="ICS.Market.Interest rate.G+" sheetId="31" r:id="rId31"/>
    <sheet name="ICS.Market.Equity.G+" sheetId="32" r:id="rId32"/>
    <sheet name="FT15.Sovereign" sheetId="33" r:id="rId33"/>
    <sheet name="FT15.Tables" sheetId="34" r:id="rId34"/>
  </sheets>
  <definedNames>
    <definedName name="_Regression_Int" localSheetId="6" hidden="1">1</definedName>
    <definedName name="_Regression_Int" localSheetId="26" hidden="1">1</definedName>
    <definedName name="anscount" hidden="1">1</definedName>
    <definedName name="FT15.Areas">FT15.Tables!$C$21:$C$26</definedName>
    <definedName name="FT15.Cat.Perils">FT15.Tables!$C$113:$C$127</definedName>
    <definedName name="FT15.ConsolidationApproach">FT15.Tables!$F$14:$F$19</definedName>
    <definedName name="FT15.ICS.NLSegm">FT15.Tables!$C$104:$C$110</definedName>
    <definedName name="FT15.IndexSheet">FT15.Index!$A$1</definedName>
    <definedName name="FT15.LSegm">FT15.Tables!$C$66:$C$81</definedName>
    <definedName name="FT15.NLSegm">FT15.Tables!$C$84:$C$101</definedName>
    <definedName name="FT15.ReportingPhases">FT15.Tables!$C$10:$C$12</definedName>
    <definedName name="FT15.ReportingUnits">FT15.Tables!$C$4:$C$7</definedName>
    <definedName name="FT15.SpecificCurrencies">FT15.Tables!$C$29:$C$63</definedName>
    <definedName name="FT15.TypeOfCapReq">FT15.Tables!$F$2:$F$5</definedName>
    <definedName name="FT15.ValuationBasis">FT15.Tables!$C$15:$C$18</definedName>
    <definedName name="ICS.Life.Corr" localSheetId="12">'ICS.Life type risk'!$T$9:$X$13</definedName>
    <definedName name="ICS.Market.Corr">'ICS.Market risk'!$P$12:$V$18</definedName>
    <definedName name="ICS.NL.Buckets.P" localSheetId="28">'ICS.Non Life.G+'!$V$8:$V$15</definedName>
    <definedName name="ICS.NL.Buckets.P" localSheetId="10">'ICS.Non-Life type risk'!$V$8:$V$15</definedName>
    <definedName name="ICS.NL.Buckets.R" localSheetId="28">'ICS.Non Life.G+'!$W$8:$W$15</definedName>
    <definedName name="ICS.NL.Buckets.R" localSheetId="10">'ICS.Non-Life type risk'!$W$8:$W$15</definedName>
    <definedName name="ICS.NL.CategMapping" localSheetId="28">'ICS.Non Life.G+'!$AG$9:$AG$14</definedName>
    <definedName name="ICS.NL.CategMapping" localSheetId="10">'ICS.Non-Life type risk'!$AG$9:$AG$14</definedName>
    <definedName name="ICS.NL.Corr.Areas" localSheetId="28">'ICS.Non Life.G+'!$Z$9:$AE$14</definedName>
    <definedName name="ICS.NL.Corr.Areas" localSheetId="10">'ICS.Non-Life type risk'!$Z$9:$AE$14</definedName>
    <definedName name="ICS.NL.Corr.Categ" localSheetId="28">'ICS.Non Life.G+'!$AK$9:$AN$12</definedName>
    <definedName name="ICS.NL.Corr.Categ" localSheetId="10">'ICS.Non-Life type risk'!$AK$9:$AN$12</definedName>
    <definedName name="ICS.NL.Corr.P_R" localSheetId="28">'ICS.Non Life.G+'!$AH$9:$AH$14</definedName>
    <definedName name="ICS.NL.Corr.P_R" localSheetId="10">'ICS.Non-Life type risk'!$AH$9:$AH$14</definedName>
    <definedName name="IMF.AdvancedEconomies">FT15.Tables!$C$131:$C$167</definedName>
    <definedName name="PrincipalLossAbsorbency">'FT15.Financial Instruments'!$Z$136:$Z$138</definedName>
    <definedName name="_xlnm.Print_Area" localSheetId="3">Baseline!$A$1:$E$45</definedName>
    <definedName name="_xlnm.Print_Area" localSheetId="4">BCR!$A$1:$I$131</definedName>
    <definedName name="_xlnm.Print_Area" localSheetId="5">'BCR.Balance sheet'!$A$1:$L$142</definedName>
    <definedName name="_xlnm.Print_Area" localSheetId="6">'BCR.Capital resources'!$A$1:$G$70</definedName>
    <definedName name="_xlnm.Print_Area" localSheetId="1">FT15.Index!$B$2:$G$41</definedName>
    <definedName name="_xlnm.Print_Area" localSheetId="2">FT15.Participant!$A$1:$E$20</definedName>
    <definedName name="_xlnm.Print_Area" localSheetId="32">FT15.Sovereign!$A$1:$H$79</definedName>
    <definedName name="_xlnm.Print_Area" localSheetId="9">ICS!$A$1:$E$56</definedName>
    <definedName name="_xlnm.Print_Area" localSheetId="23">'ICS.Balance sheet'!$A$1:$L$138</definedName>
    <definedName name="_xlnm.Print_Area" localSheetId="26">'ICS.Capital resources'!$A$1:$F$93</definedName>
    <definedName name="_xlnm.Print_Area" localSheetId="12">'ICS.Life type risk'!$A$1:$N$359</definedName>
    <definedName name="_xlnm.Print_Area" localSheetId="13">'ICS.Market risk'!$A$1:$H$16</definedName>
    <definedName name="_xlnm.Print_Area" localSheetId="18">'ICS.Market.Asset concentration'!$A$1:$I$47</definedName>
    <definedName name="_xlnm.Print_Area" localSheetId="17">ICS.Market.Currency!$A$1:$J$57</definedName>
    <definedName name="_xlnm.Print_Area" localSheetId="15">ICS.Market.Equity!$A$1:$J$65</definedName>
    <definedName name="_xlnm.Print_Area" localSheetId="31">'ICS.Market.Equity.G+'!$A$1:$J$65</definedName>
    <definedName name="_xlnm.Print_Area" localSheetId="14">'ICS.Market.Interest rate'!$A$4:$J$47</definedName>
    <definedName name="_xlnm.Print_Area" localSheetId="30">'ICS.Market.Interest rate.G+'!$A$1:$J$47</definedName>
    <definedName name="_xlnm.Print_Area" localSheetId="16">'ICS.Market.Real estate'!$A$1:$F$24</definedName>
    <definedName name="_xlnm.Print_Area" localSheetId="29">'ICS.Mortality.G+'!$A$5:$J$14</definedName>
    <definedName name="_xlnm.Print_Area" localSheetId="28">'ICS.Non Life.G+'!$A$1:$N$304</definedName>
    <definedName name="_xlnm.Print_Area" localSheetId="10">'ICS.Non-Life type risk'!$A$1:$N$304</definedName>
    <definedName name="_xlnm.Print_Area" localSheetId="20">'ICS.Operational risk'!$A$1:$K$148</definedName>
    <definedName name="_xlnm.Print_Area" localSheetId="25">'ICS.Prudence-MOCE'!$A$1:$J$35</definedName>
    <definedName name="_xlnm.Print_Area" localSheetId="22">'ICS.Supplementary Info.Expense'!$A$1:$F$16</definedName>
    <definedName name="_xlnm.Print_Area" localSheetId="21">'ICS.Supplementary Info.Lapse'!$A$1:$G$153</definedName>
    <definedName name="_xlnm.Print_Titles" localSheetId="3">Baseline!$A:$A</definedName>
    <definedName name="_xlnm.Print_Titles" localSheetId="5">'BCR.Balance sheet'!$A:$A,'BCR.Balance sheet'!$5:$7</definedName>
    <definedName name="_xlnm.Print_Titles" localSheetId="1">FT15.Index!$2:$2</definedName>
    <definedName name="_xlnm.Print_Titles" localSheetId="23">'ICS.Balance sheet'!$A:$A,'ICS.Balance sheet'!$5:$7</definedName>
    <definedName name="Version">Introduction!$A$1</definedName>
    <definedName name="Z_67A530EC_6249_45E4_A5A6_19E0B02E78D6_.wvu.Cols" localSheetId="6" hidden="1">'BCR.Capital resources'!$C:$C</definedName>
    <definedName name="Z_67A530EC_6249_45E4_A5A6_19E0B02E78D6_.wvu.Cols" localSheetId="26" hidden="1">'ICS.Capital resources'!$C:$C</definedName>
    <definedName name="Z_86BB5A8B_4064_407F_AA11_7A4540F12112_.wvu.Cols" localSheetId="6" hidden="1">'BCR.Capital resources'!$C:$C</definedName>
    <definedName name="Z_86BB5A8B_4064_407F_AA11_7A4540F12112_.wvu.Cols" localSheetId="26" hidden="1">'ICS.Capital resources'!$C:$C</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3" l="1"/>
  <c r="B132" i="34" l="1"/>
  <c r="B133" i="34" s="1"/>
  <c r="B134" i="34" s="1"/>
  <c r="B135" i="34" s="1"/>
  <c r="B136" i="34" s="1"/>
  <c r="B137" i="34" s="1"/>
  <c r="B138" i="34" s="1"/>
  <c r="B139" i="34" s="1"/>
  <c r="B140" i="34" s="1"/>
  <c r="B141" i="34" s="1"/>
  <c r="B142" i="34" s="1"/>
  <c r="B143" i="34" s="1"/>
  <c r="B144" i="34" s="1"/>
  <c r="B145" i="34" s="1"/>
  <c r="B146" i="34" s="1"/>
  <c r="B147" i="34" s="1"/>
  <c r="B148" i="34" s="1"/>
  <c r="B149" i="34" s="1"/>
  <c r="B150" i="34" s="1"/>
  <c r="B151" i="34" s="1"/>
  <c r="B152" i="34" s="1"/>
  <c r="B153" i="34" s="1"/>
  <c r="B154" i="34" s="1"/>
  <c r="B155" i="34" s="1"/>
  <c r="B156" i="34" s="1"/>
  <c r="B157" i="34" s="1"/>
  <c r="B158" i="34" s="1"/>
  <c r="B159" i="34" s="1"/>
  <c r="B160" i="34" s="1"/>
  <c r="B161" i="34" s="1"/>
  <c r="B162" i="34" s="1"/>
  <c r="B163" i="34" s="1"/>
  <c r="B164" i="34" s="1"/>
  <c r="B165" i="34" s="1"/>
  <c r="B166" i="34" s="1"/>
  <c r="B167" i="34" s="1"/>
  <c r="B114" i="34"/>
  <c r="B115" i="34" s="1"/>
  <c r="B116" i="34" s="1"/>
  <c r="B117" i="34" s="1"/>
  <c r="B118" i="34" s="1"/>
  <c r="B119" i="34" s="1"/>
  <c r="B120" i="34" s="1"/>
  <c r="B121" i="34" s="1"/>
  <c r="B122" i="34" s="1"/>
  <c r="B123" i="34" s="1"/>
  <c r="B124" i="34" s="1"/>
  <c r="B125" i="34" s="1"/>
  <c r="B126" i="34" s="1"/>
  <c r="B127" i="34" s="1"/>
  <c r="B105" i="34"/>
  <c r="B106" i="34" s="1"/>
  <c r="B107" i="34" s="1"/>
  <c r="B108" i="34" s="1"/>
  <c r="B109" i="34" s="1"/>
  <c r="B110" i="34" s="1"/>
  <c r="B49" i="34"/>
  <c r="B50" i="34" s="1"/>
  <c r="B51" i="34" s="1"/>
  <c r="B52" i="34" s="1"/>
  <c r="B53" i="34" s="1"/>
  <c r="B54" i="34" s="1"/>
  <c r="B55" i="34" s="1"/>
  <c r="B56" i="34" s="1"/>
  <c r="B57" i="34" s="1"/>
  <c r="B58" i="34" s="1"/>
  <c r="B59" i="34" s="1"/>
  <c r="B60" i="34" s="1"/>
  <c r="B61" i="34" s="1"/>
  <c r="B62" i="34" s="1"/>
  <c r="B63" i="34" s="1"/>
  <c r="B30" i="34"/>
  <c r="B31" i="34" s="1"/>
  <c r="B32" i="34" s="1"/>
  <c r="B33" i="34" s="1"/>
  <c r="B34" i="34" s="1"/>
  <c r="B35" i="34" s="1"/>
  <c r="B36" i="34" s="1"/>
  <c r="B37" i="34" s="1"/>
  <c r="B38" i="34" s="1"/>
  <c r="B39" i="34" s="1"/>
  <c r="B40" i="34" s="1"/>
  <c r="B41" i="34" s="1"/>
  <c r="B42" i="34" s="1"/>
  <c r="B43" i="34" s="1"/>
  <c r="B44" i="34" s="1"/>
  <c r="B45" i="34" s="1"/>
  <c r="B46" i="34" s="1"/>
  <c r="B47" i="34" s="1"/>
  <c r="B48" i="34" s="1"/>
  <c r="B22" i="34"/>
  <c r="B23" i="34" s="1"/>
  <c r="B24" i="34" s="1"/>
  <c r="B25" i="34" s="1"/>
  <c r="B26" i="34" s="1"/>
  <c r="B17" i="34"/>
  <c r="B18" i="34" s="1"/>
  <c r="B16" i="34"/>
  <c r="B11" i="34"/>
  <c r="B12" i="34" s="1"/>
  <c r="B6" i="34"/>
  <c r="B7" i="34" s="1"/>
  <c r="B5" i="34"/>
  <c r="I63" i="32"/>
  <c r="G63" i="32"/>
  <c r="E63" i="32"/>
  <c r="C63" i="32"/>
  <c r="I46" i="32"/>
  <c r="G46" i="32"/>
  <c r="G7" i="32" s="1"/>
  <c r="E46" i="32"/>
  <c r="E6" i="32" s="1"/>
  <c r="C6" i="32" s="1"/>
  <c r="C8" i="32" s="1"/>
  <c r="C7" i="32" s="1"/>
  <c r="C46" i="32"/>
  <c r="E7" i="32" s="1"/>
  <c r="E34" i="32"/>
  <c r="E17" i="32"/>
  <c r="C17" i="32"/>
  <c r="G6" i="32"/>
  <c r="C24" i="31"/>
  <c r="C23" i="31"/>
  <c r="C22" i="31"/>
  <c r="C20" i="31"/>
  <c r="C19" i="31"/>
  <c r="C18" i="31"/>
  <c r="J10" i="31"/>
  <c r="I10" i="31"/>
  <c r="H10" i="31"/>
  <c r="G14" i="30"/>
  <c r="F14" i="30"/>
  <c r="G13" i="30"/>
  <c r="F13" i="30"/>
  <c r="G12" i="30"/>
  <c r="F12" i="30"/>
  <c r="G11" i="30"/>
  <c r="F11" i="30"/>
  <c r="G10" i="30"/>
  <c r="F10" i="30"/>
  <c r="G9" i="30"/>
  <c r="G8" i="30" s="1"/>
  <c r="F9" i="30"/>
  <c r="N304" i="29"/>
  <c r="M304" i="29"/>
  <c r="L304" i="29"/>
  <c r="D304" i="29"/>
  <c r="C304" i="29"/>
  <c r="N303" i="29"/>
  <c r="M303" i="29"/>
  <c r="L303" i="29"/>
  <c r="D303" i="29"/>
  <c r="C303" i="29"/>
  <c r="I14" i="29" s="1"/>
  <c r="N302" i="29"/>
  <c r="M302" i="29"/>
  <c r="L302" i="29"/>
  <c r="D302" i="29"/>
  <c r="C302" i="29" s="1"/>
  <c r="H14" i="29" s="1"/>
  <c r="N301" i="29"/>
  <c r="M301" i="29"/>
  <c r="L301" i="29"/>
  <c r="D301" i="29"/>
  <c r="C301" i="29" s="1"/>
  <c r="N300" i="29"/>
  <c r="M300" i="29"/>
  <c r="L300" i="29"/>
  <c r="D300" i="29"/>
  <c r="C300" i="29" s="1"/>
  <c r="N299" i="29"/>
  <c r="M299" i="29"/>
  <c r="L299" i="29"/>
  <c r="D299" i="29"/>
  <c r="C299" i="29" s="1"/>
  <c r="N298" i="29"/>
  <c r="M298" i="29"/>
  <c r="L298" i="29"/>
  <c r="D298" i="29"/>
  <c r="C298" i="29" s="1"/>
  <c r="N297" i="29"/>
  <c r="M297" i="29"/>
  <c r="L297" i="29"/>
  <c r="D297" i="29"/>
  <c r="C297" i="29"/>
  <c r="N296" i="29"/>
  <c r="M296" i="29"/>
  <c r="L296" i="29"/>
  <c r="D296" i="29"/>
  <c r="C296" i="29"/>
  <c r="N295" i="29"/>
  <c r="M295" i="29"/>
  <c r="L295" i="29"/>
  <c r="D295" i="29"/>
  <c r="C295" i="29" s="1"/>
  <c r="N294" i="29"/>
  <c r="M294" i="29"/>
  <c r="L294" i="29"/>
  <c r="D294" i="29"/>
  <c r="C294" i="29" s="1"/>
  <c r="N293" i="29"/>
  <c r="M293" i="29"/>
  <c r="L293" i="29"/>
  <c r="D293" i="29"/>
  <c r="C293" i="29" s="1"/>
  <c r="N292" i="29"/>
  <c r="M292" i="29"/>
  <c r="L292" i="29"/>
  <c r="D292" i="29"/>
  <c r="C292" i="29" s="1"/>
  <c r="N291" i="29"/>
  <c r="M291" i="29"/>
  <c r="L291" i="29"/>
  <c r="D291" i="29"/>
  <c r="C291" i="29" s="1"/>
  <c r="N290" i="29"/>
  <c r="M290" i="29"/>
  <c r="L290" i="29"/>
  <c r="D290" i="29"/>
  <c r="C290" i="29" s="1"/>
  <c r="N289" i="29"/>
  <c r="M289" i="29"/>
  <c r="L289" i="29"/>
  <c r="D289" i="29"/>
  <c r="C289" i="29" s="1"/>
  <c r="N288" i="29"/>
  <c r="M288" i="29"/>
  <c r="L288" i="29"/>
  <c r="D288" i="29"/>
  <c r="C288" i="29"/>
  <c r="N287" i="29"/>
  <c r="M287" i="29"/>
  <c r="L287" i="29"/>
  <c r="D287" i="29"/>
  <c r="C287" i="29"/>
  <c r="N286" i="29"/>
  <c r="M286" i="29"/>
  <c r="L286" i="29"/>
  <c r="D286" i="29"/>
  <c r="C286" i="29" s="1"/>
  <c r="N285" i="29"/>
  <c r="M285" i="29"/>
  <c r="L285" i="29"/>
  <c r="D285" i="29"/>
  <c r="C285" i="29" s="1"/>
  <c r="N284" i="29"/>
  <c r="M284" i="29"/>
  <c r="L284" i="29"/>
  <c r="D284" i="29"/>
  <c r="C284" i="29" s="1"/>
  <c r="N283" i="29"/>
  <c r="M283" i="29"/>
  <c r="L283" i="29"/>
  <c r="D283" i="29"/>
  <c r="C283" i="29" s="1"/>
  <c r="A280" i="29"/>
  <c r="N278" i="29"/>
  <c r="M278" i="29"/>
  <c r="L278" i="29"/>
  <c r="D278" i="29"/>
  <c r="C278" i="29"/>
  <c r="F13" i="29" s="1"/>
  <c r="N277" i="29"/>
  <c r="M277" i="29"/>
  <c r="L277" i="29"/>
  <c r="D277" i="29"/>
  <c r="C277" i="29" s="1"/>
  <c r="N276" i="29"/>
  <c r="M276" i="29"/>
  <c r="L276" i="29"/>
  <c r="D276" i="29"/>
  <c r="C276" i="29" s="1"/>
  <c r="N275" i="29"/>
  <c r="M275" i="29"/>
  <c r="L275" i="29"/>
  <c r="D275" i="29"/>
  <c r="C275" i="29" s="1"/>
  <c r="N274" i="29"/>
  <c r="M274" i="29"/>
  <c r="L274" i="29"/>
  <c r="D274" i="29"/>
  <c r="C274" i="29" s="1"/>
  <c r="N273" i="29"/>
  <c r="M273" i="29"/>
  <c r="L273" i="29"/>
  <c r="D273" i="29"/>
  <c r="C273" i="29"/>
  <c r="N272" i="29"/>
  <c r="M272" i="29"/>
  <c r="L272" i="29"/>
  <c r="D272" i="29"/>
  <c r="C272" i="29" s="1"/>
  <c r="N271" i="29"/>
  <c r="M271" i="29"/>
  <c r="L271" i="29"/>
  <c r="D271" i="29"/>
  <c r="C271" i="29" s="1"/>
  <c r="N270" i="29"/>
  <c r="M270" i="29"/>
  <c r="L270" i="29"/>
  <c r="D270" i="29"/>
  <c r="C270" i="29"/>
  <c r="N269" i="29"/>
  <c r="M269" i="29"/>
  <c r="L269" i="29"/>
  <c r="D269" i="29"/>
  <c r="C269" i="29" s="1"/>
  <c r="N268" i="29"/>
  <c r="M268" i="29"/>
  <c r="L268" i="29"/>
  <c r="D268" i="29"/>
  <c r="C268" i="29" s="1"/>
  <c r="N267" i="29"/>
  <c r="M267" i="29"/>
  <c r="L267" i="29"/>
  <c r="D267" i="29"/>
  <c r="C267" i="29" s="1"/>
  <c r="N266" i="29"/>
  <c r="M266" i="29"/>
  <c r="L266" i="29"/>
  <c r="D266" i="29"/>
  <c r="C266" i="29" s="1"/>
  <c r="N265" i="29"/>
  <c r="M265" i="29"/>
  <c r="L265" i="29"/>
  <c r="D265" i="29"/>
  <c r="C265" i="29"/>
  <c r="N264" i="29"/>
  <c r="M264" i="29"/>
  <c r="L264" i="29"/>
  <c r="D264" i="29"/>
  <c r="C264" i="29" s="1"/>
  <c r="N263" i="29"/>
  <c r="M263" i="29"/>
  <c r="L263" i="29"/>
  <c r="D263" i="29"/>
  <c r="C263" i="29" s="1"/>
  <c r="N262" i="29"/>
  <c r="M262" i="29"/>
  <c r="L262" i="29"/>
  <c r="D262" i="29"/>
  <c r="C262" i="29"/>
  <c r="N261" i="29"/>
  <c r="M261" i="29"/>
  <c r="L261" i="29"/>
  <c r="D261" i="29"/>
  <c r="C261" i="29" s="1"/>
  <c r="N260" i="29"/>
  <c r="M260" i="29"/>
  <c r="L260" i="29"/>
  <c r="D260" i="29"/>
  <c r="C260" i="29" s="1"/>
  <c r="N259" i="29"/>
  <c r="M259" i="29"/>
  <c r="L259" i="29"/>
  <c r="D259" i="29"/>
  <c r="C259" i="29" s="1"/>
  <c r="N258" i="29"/>
  <c r="M258" i="29"/>
  <c r="L258" i="29"/>
  <c r="D258" i="29"/>
  <c r="C258" i="29" s="1"/>
  <c r="N257" i="29"/>
  <c r="M257" i="29"/>
  <c r="L257" i="29"/>
  <c r="D257" i="29"/>
  <c r="C257" i="29" s="1"/>
  <c r="A254" i="29"/>
  <c r="N252" i="29"/>
  <c r="M252" i="29"/>
  <c r="L252" i="29"/>
  <c r="D252" i="29"/>
  <c r="C252" i="29" s="1"/>
  <c r="N251" i="29"/>
  <c r="M251" i="29"/>
  <c r="L251" i="29"/>
  <c r="D251" i="29"/>
  <c r="C251" i="29"/>
  <c r="N250" i="29"/>
  <c r="M250" i="29"/>
  <c r="L250" i="29"/>
  <c r="D250" i="29"/>
  <c r="C250" i="29" s="1"/>
  <c r="N249" i="29"/>
  <c r="M249" i="29"/>
  <c r="L249" i="29"/>
  <c r="D249" i="29"/>
  <c r="C249" i="29" s="1"/>
  <c r="N248" i="29"/>
  <c r="M248" i="29"/>
  <c r="L248" i="29"/>
  <c r="D248" i="29"/>
  <c r="C248" i="29" s="1"/>
  <c r="N247" i="29"/>
  <c r="M247" i="29"/>
  <c r="L247" i="29"/>
  <c r="D247" i="29"/>
  <c r="C247" i="29" s="1"/>
  <c r="N246" i="29"/>
  <c r="M246" i="29"/>
  <c r="L246" i="29"/>
  <c r="D246" i="29"/>
  <c r="C246" i="29" s="1"/>
  <c r="N245" i="29"/>
  <c r="M245" i="29"/>
  <c r="L245" i="29"/>
  <c r="D245" i="29"/>
  <c r="C245" i="29"/>
  <c r="N244" i="29"/>
  <c r="M244" i="29"/>
  <c r="L244" i="29"/>
  <c r="D244" i="29"/>
  <c r="C244" i="29" s="1"/>
  <c r="N243" i="29"/>
  <c r="M243" i="29"/>
  <c r="L243" i="29"/>
  <c r="D243" i="29"/>
  <c r="C243" i="29"/>
  <c r="N242" i="29"/>
  <c r="M242" i="29"/>
  <c r="L242" i="29"/>
  <c r="D242" i="29"/>
  <c r="C242" i="29" s="1"/>
  <c r="N241" i="29"/>
  <c r="M241" i="29"/>
  <c r="L241" i="29"/>
  <c r="D241" i="29"/>
  <c r="C241" i="29" s="1"/>
  <c r="N240" i="29"/>
  <c r="M240" i="29"/>
  <c r="L240" i="29"/>
  <c r="D240" i="29"/>
  <c r="C240" i="29" s="1"/>
  <c r="N239" i="29"/>
  <c r="M239" i="29"/>
  <c r="L239" i="29"/>
  <c r="D239" i="29"/>
  <c r="C239" i="29" s="1"/>
  <c r="N238" i="29"/>
  <c r="M238" i="29"/>
  <c r="L238" i="29"/>
  <c r="D238" i="29"/>
  <c r="C238" i="29"/>
  <c r="N237" i="29"/>
  <c r="M237" i="29"/>
  <c r="L237" i="29"/>
  <c r="D237" i="29"/>
  <c r="C237" i="29" s="1"/>
  <c r="N236" i="29"/>
  <c r="M236" i="29"/>
  <c r="L236" i="29"/>
  <c r="D236" i="29"/>
  <c r="C236" i="29" s="1"/>
  <c r="N235" i="29"/>
  <c r="M235" i="29"/>
  <c r="L235" i="29"/>
  <c r="D235" i="29"/>
  <c r="C235" i="29"/>
  <c r="N234" i="29"/>
  <c r="M234" i="29"/>
  <c r="L234" i="29"/>
  <c r="D234" i="29"/>
  <c r="C234" i="29" s="1"/>
  <c r="N233" i="29"/>
  <c r="M233" i="29"/>
  <c r="L233" i="29"/>
  <c r="D233" i="29"/>
  <c r="C233" i="29" s="1"/>
  <c r="N232" i="29"/>
  <c r="M232" i="29"/>
  <c r="L232" i="29"/>
  <c r="D232" i="29"/>
  <c r="C232" i="29" s="1"/>
  <c r="N231" i="29"/>
  <c r="M231" i="29"/>
  <c r="L231" i="29"/>
  <c r="D231" i="29"/>
  <c r="C231" i="29"/>
  <c r="N230" i="29"/>
  <c r="M230" i="29"/>
  <c r="L230" i="29"/>
  <c r="D230" i="29"/>
  <c r="C230" i="29"/>
  <c r="N229" i="29"/>
  <c r="M229" i="29"/>
  <c r="L229" i="29"/>
  <c r="D229" i="29"/>
  <c r="C229" i="29" s="1"/>
  <c r="N228" i="29"/>
  <c r="M228" i="29"/>
  <c r="L228" i="29"/>
  <c r="D228" i="29"/>
  <c r="C228" i="29" s="1"/>
  <c r="N227" i="29"/>
  <c r="M227" i="29"/>
  <c r="L227" i="29"/>
  <c r="D227" i="29"/>
  <c r="C227" i="29" s="1"/>
  <c r="N226" i="29"/>
  <c r="M226" i="29"/>
  <c r="L226" i="29"/>
  <c r="D226" i="29"/>
  <c r="C226" i="29" s="1"/>
  <c r="A223" i="29"/>
  <c r="N221" i="29"/>
  <c r="M221" i="29"/>
  <c r="L221" i="29"/>
  <c r="D221" i="29"/>
  <c r="C221" i="29" s="1"/>
  <c r="N220" i="29"/>
  <c r="M220" i="29"/>
  <c r="L220" i="29"/>
  <c r="D220" i="29"/>
  <c r="C220" i="29"/>
  <c r="N219" i="29"/>
  <c r="M219" i="29"/>
  <c r="L219" i="29"/>
  <c r="D219" i="29"/>
  <c r="C219" i="29" s="1"/>
  <c r="N218" i="29"/>
  <c r="M218" i="29"/>
  <c r="L218" i="29"/>
  <c r="D218" i="29"/>
  <c r="C218" i="29" s="1"/>
  <c r="N217" i="29"/>
  <c r="M217" i="29"/>
  <c r="L217" i="29"/>
  <c r="D217" i="29"/>
  <c r="C217" i="29" s="1"/>
  <c r="N216" i="29"/>
  <c r="M216" i="29"/>
  <c r="L216" i="29"/>
  <c r="D216" i="29"/>
  <c r="C216" i="29" s="1"/>
  <c r="N215" i="29"/>
  <c r="M215" i="29"/>
  <c r="L215" i="29"/>
  <c r="D215" i="29"/>
  <c r="C215" i="29"/>
  <c r="N214" i="29"/>
  <c r="M214" i="29"/>
  <c r="L214" i="29"/>
  <c r="D214" i="29"/>
  <c r="C214" i="29" s="1"/>
  <c r="N213" i="29"/>
  <c r="M213" i="29"/>
  <c r="L213" i="29"/>
  <c r="D213" i="29"/>
  <c r="C213" i="29" s="1"/>
  <c r="N212" i="29"/>
  <c r="M212" i="29"/>
  <c r="L212" i="29"/>
  <c r="D212" i="29"/>
  <c r="C212" i="29"/>
  <c r="N211" i="29"/>
  <c r="M211" i="29"/>
  <c r="L211" i="29"/>
  <c r="D211" i="29"/>
  <c r="C211" i="29" s="1"/>
  <c r="N210" i="29"/>
  <c r="M210" i="29"/>
  <c r="L210" i="29"/>
  <c r="D210" i="29"/>
  <c r="C210" i="29" s="1"/>
  <c r="N209" i="29"/>
  <c r="M209" i="29"/>
  <c r="L209" i="29"/>
  <c r="D209" i="29"/>
  <c r="C209" i="29" s="1"/>
  <c r="N208" i="29"/>
  <c r="M208" i="29"/>
  <c r="L208" i="29"/>
  <c r="D208" i="29"/>
  <c r="C208" i="29" s="1"/>
  <c r="N207" i="29"/>
  <c r="M207" i="29"/>
  <c r="L207" i="29"/>
  <c r="D207" i="29"/>
  <c r="C207" i="29" s="1"/>
  <c r="A204" i="29"/>
  <c r="N202" i="29"/>
  <c r="M202" i="29"/>
  <c r="L202" i="29"/>
  <c r="D202" i="29"/>
  <c r="C202" i="29" s="1"/>
  <c r="N201" i="29"/>
  <c r="M201" i="29"/>
  <c r="L201" i="29"/>
  <c r="D201" i="29"/>
  <c r="C201" i="29"/>
  <c r="N200" i="29"/>
  <c r="M200" i="29"/>
  <c r="L200" i="29"/>
  <c r="D200" i="29"/>
  <c r="C200" i="29" s="1"/>
  <c r="N199" i="29"/>
  <c r="M199" i="29"/>
  <c r="L199" i="29"/>
  <c r="D199" i="29"/>
  <c r="C199" i="29" s="1"/>
  <c r="N198" i="29"/>
  <c r="M198" i="29"/>
  <c r="L198" i="29"/>
  <c r="D198" i="29"/>
  <c r="C198" i="29" s="1"/>
  <c r="N197" i="29"/>
  <c r="M197" i="29"/>
  <c r="L197" i="29"/>
  <c r="D197" i="29"/>
  <c r="C197" i="29" s="1"/>
  <c r="N196" i="29"/>
  <c r="M196" i="29"/>
  <c r="L196" i="29"/>
  <c r="D196" i="29"/>
  <c r="C196" i="29" s="1"/>
  <c r="N195" i="29"/>
  <c r="M195" i="29"/>
  <c r="L195" i="29"/>
  <c r="D195" i="29"/>
  <c r="C195" i="29"/>
  <c r="N194" i="29"/>
  <c r="M194" i="29"/>
  <c r="L194" i="29"/>
  <c r="D194" i="29"/>
  <c r="C194" i="29" s="1"/>
  <c r="N193" i="29"/>
  <c r="M193" i="29"/>
  <c r="L193" i="29"/>
  <c r="D193" i="29"/>
  <c r="C193" i="29"/>
  <c r="N192" i="29"/>
  <c r="M192" i="29"/>
  <c r="L192" i="29"/>
  <c r="D192" i="29"/>
  <c r="C192" i="29" s="1"/>
  <c r="N191" i="29"/>
  <c r="M191" i="29"/>
  <c r="L191" i="29"/>
  <c r="D191" i="29"/>
  <c r="C191" i="29" s="1"/>
  <c r="N190" i="29"/>
  <c r="M190" i="29"/>
  <c r="L190" i="29"/>
  <c r="D190" i="29"/>
  <c r="C190" i="29" s="1"/>
  <c r="A187" i="29"/>
  <c r="N185" i="29"/>
  <c r="M185" i="29"/>
  <c r="L185" i="29"/>
  <c r="D185" i="29"/>
  <c r="C185" i="29" s="1"/>
  <c r="N184" i="29"/>
  <c r="M184" i="29"/>
  <c r="L184" i="29"/>
  <c r="D184" i="29"/>
  <c r="C184" i="29"/>
  <c r="N183" i="29"/>
  <c r="M183" i="29"/>
  <c r="L183" i="29"/>
  <c r="D183" i="29"/>
  <c r="C183" i="29" s="1"/>
  <c r="N182" i="29"/>
  <c r="M182" i="29"/>
  <c r="L182" i="29"/>
  <c r="D182" i="29"/>
  <c r="C182" i="29" s="1"/>
  <c r="N181" i="29"/>
  <c r="M181" i="29"/>
  <c r="L181" i="29"/>
  <c r="D181" i="29"/>
  <c r="C181" i="29" s="1"/>
  <c r="N180" i="29"/>
  <c r="M180" i="29"/>
  <c r="L180" i="29"/>
  <c r="D180" i="29"/>
  <c r="C180" i="29" s="1"/>
  <c r="N179" i="29"/>
  <c r="M179" i="29"/>
  <c r="L179" i="29"/>
  <c r="D179" i="29"/>
  <c r="C179" i="29" s="1"/>
  <c r="N178" i="29"/>
  <c r="M178" i="29"/>
  <c r="L178" i="29"/>
  <c r="D178" i="29"/>
  <c r="C178" i="29"/>
  <c r="N177" i="29"/>
  <c r="M177" i="29"/>
  <c r="L177" i="29"/>
  <c r="D177" i="29"/>
  <c r="C177" i="29" s="1"/>
  <c r="N176" i="29"/>
  <c r="M176" i="29"/>
  <c r="L176" i="29"/>
  <c r="D176" i="29"/>
  <c r="C176" i="29" s="1"/>
  <c r="A173" i="29"/>
  <c r="N171" i="29"/>
  <c r="M171" i="29"/>
  <c r="L171" i="29"/>
  <c r="D171" i="29"/>
  <c r="C171" i="29" s="1"/>
  <c r="N170" i="29"/>
  <c r="M170" i="29"/>
  <c r="L170" i="29"/>
  <c r="D170" i="29"/>
  <c r="C170" i="29"/>
  <c r="N169" i="29"/>
  <c r="M169" i="29"/>
  <c r="L169" i="29"/>
  <c r="D169" i="29"/>
  <c r="C169" i="29" s="1"/>
  <c r="N168" i="29"/>
  <c r="M168" i="29"/>
  <c r="L168" i="29"/>
  <c r="D168" i="29"/>
  <c r="C168" i="29" s="1"/>
  <c r="N167" i="29"/>
  <c r="M167" i="29"/>
  <c r="L167" i="29"/>
  <c r="D167" i="29"/>
  <c r="C167" i="29"/>
  <c r="N166" i="29"/>
  <c r="M166" i="29"/>
  <c r="L166" i="29"/>
  <c r="D166" i="29"/>
  <c r="C166" i="29"/>
  <c r="N165" i="29"/>
  <c r="M165" i="29"/>
  <c r="L165" i="29"/>
  <c r="D165" i="29"/>
  <c r="C165" i="29" s="1"/>
  <c r="N164" i="29"/>
  <c r="M164" i="29"/>
  <c r="L164" i="29"/>
  <c r="D164" i="29"/>
  <c r="C164" i="29" s="1"/>
  <c r="N163" i="29"/>
  <c r="M163" i="29"/>
  <c r="L163" i="29"/>
  <c r="D163" i="29"/>
  <c r="C163" i="29" s="1"/>
  <c r="N162" i="29"/>
  <c r="M162" i="29"/>
  <c r="L162" i="29"/>
  <c r="D162" i="29"/>
  <c r="C162" i="29" s="1"/>
  <c r="N161" i="29"/>
  <c r="M161" i="29"/>
  <c r="L161" i="29"/>
  <c r="D161" i="29"/>
  <c r="C161" i="29"/>
  <c r="N160" i="29"/>
  <c r="M160" i="29"/>
  <c r="L160" i="29"/>
  <c r="D160" i="29"/>
  <c r="C160" i="29" s="1"/>
  <c r="N159" i="29"/>
  <c r="M159" i="29"/>
  <c r="L159" i="29"/>
  <c r="D159" i="29"/>
  <c r="C159" i="29"/>
  <c r="N158" i="29"/>
  <c r="M158" i="29"/>
  <c r="L158" i="29"/>
  <c r="D158" i="29"/>
  <c r="C158" i="29" s="1"/>
  <c r="N157" i="29"/>
  <c r="M157" i="29"/>
  <c r="L157" i="29"/>
  <c r="D157" i="29"/>
  <c r="C157" i="29" s="1"/>
  <c r="N156" i="29"/>
  <c r="M156" i="29"/>
  <c r="L156" i="29"/>
  <c r="D156" i="29"/>
  <c r="C156" i="29" s="1"/>
  <c r="N155" i="29"/>
  <c r="M155" i="29"/>
  <c r="L155" i="29"/>
  <c r="D155" i="29"/>
  <c r="C155" i="29"/>
  <c r="N154" i="29"/>
  <c r="M154" i="29"/>
  <c r="L154" i="29"/>
  <c r="D154" i="29"/>
  <c r="C154" i="29" s="1"/>
  <c r="N153" i="29"/>
  <c r="M153" i="29"/>
  <c r="L153" i="29"/>
  <c r="D153" i="29"/>
  <c r="C153" i="29"/>
  <c r="N152" i="29"/>
  <c r="M152" i="29"/>
  <c r="L152" i="29"/>
  <c r="D152" i="29"/>
  <c r="C152" i="29" s="1"/>
  <c r="N151" i="29"/>
  <c r="M151" i="29"/>
  <c r="L151" i="29"/>
  <c r="D151" i="29"/>
  <c r="C151" i="29"/>
  <c r="N150" i="29"/>
  <c r="M150" i="29"/>
  <c r="L150" i="29"/>
  <c r="D150" i="29"/>
  <c r="C150" i="29"/>
  <c r="N149" i="29"/>
  <c r="M149" i="29"/>
  <c r="L149" i="29"/>
  <c r="D149" i="29"/>
  <c r="C149" i="29" s="1"/>
  <c r="N148" i="29"/>
  <c r="M148" i="29"/>
  <c r="L148" i="29"/>
  <c r="D148" i="29"/>
  <c r="C148" i="29" s="1"/>
  <c r="N147" i="29"/>
  <c r="M147" i="29"/>
  <c r="L147" i="29"/>
  <c r="D147" i="29"/>
  <c r="C147" i="29"/>
  <c r="N146" i="29"/>
  <c r="M146" i="29"/>
  <c r="L146" i="29"/>
  <c r="D146" i="29"/>
  <c r="C146" i="29" s="1"/>
  <c r="N145" i="29"/>
  <c r="M145" i="29"/>
  <c r="L145" i="29"/>
  <c r="D145" i="29"/>
  <c r="C145" i="29"/>
  <c r="N144" i="29"/>
  <c r="M144" i="29"/>
  <c r="L144" i="29"/>
  <c r="D144" i="29"/>
  <c r="C144" i="29" s="1"/>
  <c r="N143" i="29"/>
  <c r="M143" i="29"/>
  <c r="L143" i="29"/>
  <c r="D143" i="29"/>
  <c r="C143" i="29"/>
  <c r="N142" i="29"/>
  <c r="M142" i="29"/>
  <c r="L142" i="29"/>
  <c r="D142" i="29"/>
  <c r="C142" i="29" s="1"/>
  <c r="N141" i="29"/>
  <c r="M141" i="29"/>
  <c r="L141" i="29"/>
  <c r="D141" i="29"/>
  <c r="C141" i="29" s="1"/>
  <c r="N140" i="29"/>
  <c r="M140" i="29"/>
  <c r="L140" i="29"/>
  <c r="D140" i="29"/>
  <c r="C140" i="29" s="1"/>
  <c r="N139" i="29"/>
  <c r="M139" i="29"/>
  <c r="L139" i="29"/>
  <c r="D139" i="29"/>
  <c r="C139" i="29"/>
  <c r="N138" i="29"/>
  <c r="M138" i="29"/>
  <c r="L138" i="29"/>
  <c r="D138" i="29"/>
  <c r="C138" i="29" s="1"/>
  <c r="N137" i="29"/>
  <c r="M137" i="29"/>
  <c r="L137" i="29"/>
  <c r="D137" i="29"/>
  <c r="C137" i="29" s="1"/>
  <c r="N136" i="29"/>
  <c r="M136" i="29"/>
  <c r="L136" i="29"/>
  <c r="D136" i="29"/>
  <c r="C136" i="29" s="1"/>
  <c r="N135" i="29"/>
  <c r="M135" i="29"/>
  <c r="L135" i="29"/>
  <c r="D135" i="29"/>
  <c r="C135" i="29" s="1"/>
  <c r="N134" i="29"/>
  <c r="M134" i="29"/>
  <c r="L134" i="29"/>
  <c r="D134" i="29"/>
  <c r="C134" i="29"/>
  <c r="N133" i="29"/>
  <c r="M133" i="29"/>
  <c r="L133" i="29"/>
  <c r="D133" i="29"/>
  <c r="C133" i="29" s="1"/>
  <c r="N132" i="29"/>
  <c r="M132" i="29"/>
  <c r="L132" i="29"/>
  <c r="D132" i="29"/>
  <c r="C132" i="29" s="1"/>
  <c r="N131" i="29"/>
  <c r="M131" i="29"/>
  <c r="L131" i="29"/>
  <c r="D131" i="29"/>
  <c r="C131" i="29"/>
  <c r="N130" i="29"/>
  <c r="M130" i="29"/>
  <c r="L130" i="29"/>
  <c r="D130" i="29"/>
  <c r="C130" i="29" s="1"/>
  <c r="N129" i="29"/>
  <c r="M129" i="29"/>
  <c r="L129" i="29"/>
  <c r="D129" i="29"/>
  <c r="C129" i="29" s="1"/>
  <c r="N128" i="29"/>
  <c r="M128" i="29"/>
  <c r="L128" i="29"/>
  <c r="D128" i="29"/>
  <c r="C128" i="29" s="1"/>
  <c r="N127" i="29"/>
  <c r="M127" i="29"/>
  <c r="L127" i="29"/>
  <c r="D127" i="29"/>
  <c r="C127" i="29"/>
  <c r="N126" i="29"/>
  <c r="M126" i="29"/>
  <c r="L126" i="29"/>
  <c r="D126" i="29"/>
  <c r="C126" i="29" s="1"/>
  <c r="N125" i="29"/>
  <c r="M125" i="29"/>
  <c r="L125" i="29"/>
  <c r="D125" i="29"/>
  <c r="C125" i="29" s="1"/>
  <c r="N124" i="29"/>
  <c r="M124" i="29"/>
  <c r="L124" i="29"/>
  <c r="D124" i="29"/>
  <c r="C124" i="29" s="1"/>
  <c r="A121" i="29"/>
  <c r="N119" i="29"/>
  <c r="M119" i="29"/>
  <c r="L119" i="29"/>
  <c r="D119" i="29"/>
  <c r="C119" i="29" s="1"/>
  <c r="N118" i="29"/>
  <c r="M118" i="29"/>
  <c r="L118" i="29"/>
  <c r="D118" i="29"/>
  <c r="C118" i="29"/>
  <c r="N117" i="29"/>
  <c r="M117" i="29"/>
  <c r="L117" i="29"/>
  <c r="D117" i="29"/>
  <c r="C117" i="29" s="1"/>
  <c r="N116" i="29"/>
  <c r="M116" i="29"/>
  <c r="L116" i="29"/>
  <c r="D116" i="29"/>
  <c r="C116" i="29" s="1"/>
  <c r="E12" i="29" s="1"/>
  <c r="N115" i="29"/>
  <c r="M115" i="29"/>
  <c r="L115" i="29"/>
  <c r="D115" i="29"/>
  <c r="C115" i="29"/>
  <c r="N114" i="29"/>
  <c r="M114" i="29"/>
  <c r="L114" i="29"/>
  <c r="D114" i="29"/>
  <c r="C114" i="29" s="1"/>
  <c r="N113" i="29"/>
  <c r="M113" i="29"/>
  <c r="L113" i="29"/>
  <c r="D113" i="29"/>
  <c r="C113" i="29" s="1"/>
  <c r="N112" i="29"/>
  <c r="M112" i="29"/>
  <c r="L112" i="29"/>
  <c r="D112" i="29"/>
  <c r="C112" i="29"/>
  <c r="N111" i="29"/>
  <c r="M111" i="29"/>
  <c r="L111" i="29"/>
  <c r="D111" i="29"/>
  <c r="C111" i="29" s="1"/>
  <c r="N110" i="29"/>
  <c r="M110" i="29"/>
  <c r="L110" i="29"/>
  <c r="D110" i="29"/>
  <c r="C110" i="29" s="1"/>
  <c r="A107" i="29"/>
  <c r="N105" i="29"/>
  <c r="M105" i="29"/>
  <c r="L105" i="29"/>
  <c r="D105" i="29"/>
  <c r="C105" i="29" s="1"/>
  <c r="N104" i="29"/>
  <c r="M104" i="29"/>
  <c r="L104" i="29"/>
  <c r="D104" i="29"/>
  <c r="C104" i="29" s="1"/>
  <c r="N103" i="29"/>
  <c r="M103" i="29"/>
  <c r="L103" i="29"/>
  <c r="D103" i="29"/>
  <c r="C103" i="29"/>
  <c r="N102" i="29"/>
  <c r="M102" i="29"/>
  <c r="L102" i="29"/>
  <c r="D102" i="29"/>
  <c r="C102" i="29" s="1"/>
  <c r="D11" i="29" s="1"/>
  <c r="N101" i="29"/>
  <c r="M101" i="29"/>
  <c r="L101" i="29"/>
  <c r="D101" i="29"/>
  <c r="C101" i="29" s="1"/>
  <c r="N100" i="29"/>
  <c r="M100" i="29"/>
  <c r="L100" i="29"/>
  <c r="D100" i="29"/>
  <c r="C100" i="29" s="1"/>
  <c r="N99" i="29"/>
  <c r="M99" i="29"/>
  <c r="L99" i="29"/>
  <c r="D99" i="29"/>
  <c r="C99" i="29" s="1"/>
  <c r="N98" i="29"/>
  <c r="M98" i="29"/>
  <c r="L98" i="29"/>
  <c r="D98" i="29"/>
  <c r="C98" i="29" s="1"/>
  <c r="N97" i="29"/>
  <c r="M97" i="29"/>
  <c r="L97" i="29"/>
  <c r="D97" i="29"/>
  <c r="C97" i="29"/>
  <c r="N96" i="29"/>
  <c r="M96" i="29"/>
  <c r="L96" i="29"/>
  <c r="D96" i="29"/>
  <c r="C96" i="29" s="1"/>
  <c r="N95" i="29"/>
  <c r="M95" i="29"/>
  <c r="L95" i="29"/>
  <c r="D95" i="29"/>
  <c r="C95" i="29" s="1"/>
  <c r="N94" i="29"/>
  <c r="M94" i="29"/>
  <c r="L94" i="29"/>
  <c r="D94" i="29"/>
  <c r="C94" i="29" s="1"/>
  <c r="N93" i="29"/>
  <c r="M93" i="29"/>
  <c r="L93" i="29"/>
  <c r="D93" i="29"/>
  <c r="C93" i="29" s="1"/>
  <c r="N92" i="29"/>
  <c r="M92" i="29"/>
  <c r="L92" i="29"/>
  <c r="D92" i="29"/>
  <c r="C92" i="29"/>
  <c r="N91" i="29"/>
  <c r="M91" i="29"/>
  <c r="L91" i="29"/>
  <c r="D91" i="29"/>
  <c r="C91" i="29" s="1"/>
  <c r="N90" i="29"/>
  <c r="M90" i="29"/>
  <c r="L90" i="29"/>
  <c r="D90" i="29"/>
  <c r="C90" i="29"/>
  <c r="A87" i="29"/>
  <c r="N85" i="29"/>
  <c r="M85" i="29"/>
  <c r="L85" i="29"/>
  <c r="D85" i="29"/>
  <c r="C85" i="29"/>
  <c r="N84" i="29"/>
  <c r="M84" i="29"/>
  <c r="L84" i="29"/>
  <c r="D84" i="29"/>
  <c r="C84" i="29" s="1"/>
  <c r="F10" i="29" s="1"/>
  <c r="N83" i="29"/>
  <c r="M83" i="29"/>
  <c r="L83" i="29"/>
  <c r="D83" i="29"/>
  <c r="C83" i="29"/>
  <c r="N82" i="29"/>
  <c r="M82" i="29"/>
  <c r="L82" i="29"/>
  <c r="D82" i="29"/>
  <c r="C82" i="29" s="1"/>
  <c r="N81" i="29"/>
  <c r="M81" i="29"/>
  <c r="L81" i="29"/>
  <c r="D81" i="29"/>
  <c r="C81" i="29" s="1"/>
  <c r="N80" i="29"/>
  <c r="M80" i="29"/>
  <c r="L80" i="29"/>
  <c r="D80" i="29"/>
  <c r="C80" i="29" s="1"/>
  <c r="N79" i="29"/>
  <c r="M79" i="29"/>
  <c r="L79" i="29"/>
  <c r="D79" i="29"/>
  <c r="C79" i="29"/>
  <c r="N78" i="29"/>
  <c r="M78" i="29"/>
  <c r="L78" i="29"/>
  <c r="D78" i="29"/>
  <c r="C78" i="29" s="1"/>
  <c r="N77" i="29"/>
  <c r="M77" i="29"/>
  <c r="L77" i="29"/>
  <c r="D77" i="29"/>
  <c r="C77" i="29" s="1"/>
  <c r="N76" i="29"/>
  <c r="M76" i="29"/>
  <c r="L76" i="29"/>
  <c r="D76" i="29"/>
  <c r="C76" i="29"/>
  <c r="N75" i="29"/>
  <c r="M75" i="29"/>
  <c r="L75" i="29"/>
  <c r="D75" i="29"/>
  <c r="C75" i="29" s="1"/>
  <c r="N74" i="29"/>
  <c r="M74" i="29"/>
  <c r="L74" i="29"/>
  <c r="D74" i="29"/>
  <c r="C74" i="29" s="1"/>
  <c r="N73" i="29"/>
  <c r="M73" i="29"/>
  <c r="L73" i="29"/>
  <c r="D73" i="29"/>
  <c r="C73" i="29"/>
  <c r="N72" i="29"/>
  <c r="M72" i="29"/>
  <c r="L72" i="29"/>
  <c r="D72" i="29"/>
  <c r="C72" i="29"/>
  <c r="N71" i="29"/>
  <c r="M71" i="29"/>
  <c r="L71" i="29"/>
  <c r="D71" i="29"/>
  <c r="C71" i="29" s="1"/>
  <c r="N70" i="29"/>
  <c r="M70" i="29"/>
  <c r="L70" i="29"/>
  <c r="D70" i="29"/>
  <c r="C70" i="29" s="1"/>
  <c r="N69" i="29"/>
  <c r="M69" i="29"/>
  <c r="L69" i="29"/>
  <c r="D69" i="29"/>
  <c r="C69" i="29" s="1"/>
  <c r="N68" i="29"/>
  <c r="M68" i="29"/>
  <c r="L68" i="29"/>
  <c r="D68" i="29"/>
  <c r="C68" i="29"/>
  <c r="N67" i="29"/>
  <c r="M67" i="29"/>
  <c r="L67" i="29"/>
  <c r="D67" i="29"/>
  <c r="C67" i="29"/>
  <c r="N66" i="29"/>
  <c r="M66" i="29"/>
  <c r="L66" i="29"/>
  <c r="D66" i="29"/>
  <c r="C66" i="29" s="1"/>
  <c r="N65" i="29"/>
  <c r="M65" i="29"/>
  <c r="L65" i="29"/>
  <c r="D65" i="29"/>
  <c r="C65" i="29"/>
  <c r="A62" i="29"/>
  <c r="N60" i="29"/>
  <c r="M60" i="29"/>
  <c r="L60" i="29"/>
  <c r="D60" i="29"/>
  <c r="C60" i="29"/>
  <c r="N59" i="29"/>
  <c r="M59" i="29"/>
  <c r="L59" i="29"/>
  <c r="D59" i="29"/>
  <c r="C59" i="29" s="1"/>
  <c r="N58" i="29"/>
  <c r="M58" i="29"/>
  <c r="L58" i="29"/>
  <c r="D58" i="29"/>
  <c r="C58" i="29"/>
  <c r="N57" i="29"/>
  <c r="M57" i="29"/>
  <c r="L57" i="29"/>
  <c r="D57" i="29"/>
  <c r="C57" i="29" s="1"/>
  <c r="N56" i="29"/>
  <c r="M56" i="29"/>
  <c r="L56" i="29"/>
  <c r="D56" i="29"/>
  <c r="C56" i="29" s="1"/>
  <c r="N55" i="29"/>
  <c r="M55" i="29"/>
  <c r="L55" i="29"/>
  <c r="D55" i="29"/>
  <c r="C55" i="29" s="1"/>
  <c r="N54" i="29"/>
  <c r="M54" i="29"/>
  <c r="L54" i="29"/>
  <c r="D54" i="29"/>
  <c r="C54" i="29"/>
  <c r="N53" i="29"/>
  <c r="M53" i="29"/>
  <c r="L53" i="29"/>
  <c r="D53" i="29"/>
  <c r="C53" i="29" s="1"/>
  <c r="N52" i="29"/>
  <c r="M52" i="29"/>
  <c r="L52" i="29"/>
  <c r="D52" i="29"/>
  <c r="C52" i="29" s="1"/>
  <c r="C10" i="29" s="1"/>
  <c r="N51" i="29"/>
  <c r="M51" i="29"/>
  <c r="L51" i="29"/>
  <c r="D51" i="29"/>
  <c r="C51" i="29" s="1"/>
  <c r="N50" i="29"/>
  <c r="M50" i="29"/>
  <c r="L50" i="29"/>
  <c r="D50" i="29"/>
  <c r="C50" i="29"/>
  <c r="N49" i="29"/>
  <c r="M49" i="29"/>
  <c r="L49" i="29"/>
  <c r="D49" i="29"/>
  <c r="C49" i="29"/>
  <c r="N48" i="29"/>
  <c r="M48" i="29"/>
  <c r="L48" i="29"/>
  <c r="D48" i="29"/>
  <c r="C48" i="29" s="1"/>
  <c r="N47" i="29"/>
  <c r="M47" i="29"/>
  <c r="L47" i="29"/>
  <c r="D47" i="29"/>
  <c r="C47" i="29" s="1"/>
  <c r="N46" i="29"/>
  <c r="M46" i="29"/>
  <c r="L46" i="29"/>
  <c r="D46" i="29"/>
  <c r="C46" i="29"/>
  <c r="N45" i="29"/>
  <c r="M45" i="29"/>
  <c r="L45" i="29"/>
  <c r="D45" i="29"/>
  <c r="C45" i="29" s="1"/>
  <c r="N44" i="29"/>
  <c r="M44" i="29"/>
  <c r="L44" i="29"/>
  <c r="D44" i="29"/>
  <c r="C44" i="29" s="1"/>
  <c r="N43" i="29"/>
  <c r="M43" i="29"/>
  <c r="L43" i="29"/>
  <c r="D43" i="29"/>
  <c r="C43" i="29" s="1"/>
  <c r="N42" i="29"/>
  <c r="M42" i="29"/>
  <c r="L42" i="29"/>
  <c r="D42" i="29"/>
  <c r="C42" i="29"/>
  <c r="N41" i="29"/>
  <c r="M41" i="29"/>
  <c r="L41" i="29"/>
  <c r="D41" i="29"/>
  <c r="C41" i="29" s="1"/>
  <c r="N40" i="29"/>
  <c r="M40" i="29"/>
  <c r="L40" i="29"/>
  <c r="D40" i="29"/>
  <c r="C40" i="29" s="1"/>
  <c r="A37" i="29"/>
  <c r="N35" i="29"/>
  <c r="M35" i="29"/>
  <c r="L35" i="29"/>
  <c r="G35" i="29"/>
  <c r="D35" i="29" s="1"/>
  <c r="C35" i="29" s="1"/>
  <c r="E35" i="29"/>
  <c r="N34" i="29"/>
  <c r="M34" i="29"/>
  <c r="L34" i="29"/>
  <c r="G34" i="29"/>
  <c r="E34" i="29"/>
  <c r="D34" i="29"/>
  <c r="C34" i="29" s="1"/>
  <c r="N33" i="29"/>
  <c r="M33" i="29"/>
  <c r="L33" i="29"/>
  <c r="G33" i="29"/>
  <c r="D33" i="29" s="1"/>
  <c r="C33" i="29" s="1"/>
  <c r="E33" i="29"/>
  <c r="N32" i="29"/>
  <c r="M32" i="29"/>
  <c r="L32" i="29"/>
  <c r="G32" i="29"/>
  <c r="D32" i="29" s="1"/>
  <c r="C32" i="29" s="1"/>
  <c r="E32" i="29"/>
  <c r="N31" i="29"/>
  <c r="M31" i="29"/>
  <c r="L31" i="29"/>
  <c r="G31" i="29"/>
  <c r="E31" i="29"/>
  <c r="D31" i="29"/>
  <c r="C31" i="29" s="1"/>
  <c r="N30" i="29"/>
  <c r="M30" i="29"/>
  <c r="L30" i="29"/>
  <c r="G30" i="29"/>
  <c r="D30" i="29" s="1"/>
  <c r="C30" i="29" s="1"/>
  <c r="E30" i="29"/>
  <c r="N29" i="29"/>
  <c r="M29" i="29"/>
  <c r="L29" i="29"/>
  <c r="G29" i="29"/>
  <c r="D29" i="29" s="1"/>
  <c r="E29" i="29"/>
  <c r="C29" i="29"/>
  <c r="N28" i="29"/>
  <c r="M28" i="29"/>
  <c r="L28" i="29"/>
  <c r="G28" i="29"/>
  <c r="D28" i="29" s="1"/>
  <c r="C28" i="29" s="1"/>
  <c r="I9" i="29" s="1"/>
  <c r="E28" i="29"/>
  <c r="N27" i="29"/>
  <c r="M27" i="29"/>
  <c r="L27" i="29"/>
  <c r="G27" i="29"/>
  <c r="E27" i="29"/>
  <c r="D27" i="29"/>
  <c r="C27" i="29" s="1"/>
  <c r="N26" i="29"/>
  <c r="M26" i="29"/>
  <c r="L26" i="29"/>
  <c r="G26" i="29"/>
  <c r="D26" i="29" s="1"/>
  <c r="C26" i="29" s="1"/>
  <c r="E26" i="29"/>
  <c r="N25" i="29"/>
  <c r="M25" i="29"/>
  <c r="L25" i="29"/>
  <c r="G25" i="29"/>
  <c r="D25" i="29" s="1"/>
  <c r="C25" i="29" s="1"/>
  <c r="E25" i="29"/>
  <c r="N24" i="29"/>
  <c r="M24" i="29"/>
  <c r="L24" i="29"/>
  <c r="G24" i="29"/>
  <c r="E24" i="29"/>
  <c r="D24" i="29"/>
  <c r="C24" i="29" s="1"/>
  <c r="N23" i="29"/>
  <c r="M23" i="29"/>
  <c r="L23" i="29"/>
  <c r="G23" i="29"/>
  <c r="D23" i="29" s="1"/>
  <c r="C23" i="29" s="1"/>
  <c r="E23" i="29"/>
  <c r="N22" i="29"/>
  <c r="M22" i="29"/>
  <c r="L22" i="29"/>
  <c r="G22" i="29"/>
  <c r="D22" i="29" s="1"/>
  <c r="C22" i="29" s="1"/>
  <c r="E22" i="29"/>
  <c r="N21" i="29"/>
  <c r="M21" i="29"/>
  <c r="L21" i="29"/>
  <c r="G21" i="29"/>
  <c r="D21" i="29" s="1"/>
  <c r="C21" i="29" s="1"/>
  <c r="E21" i="29"/>
  <c r="N20" i="29"/>
  <c r="M20" i="29"/>
  <c r="L20" i="29"/>
  <c r="G20" i="29"/>
  <c r="D20" i="29" s="1"/>
  <c r="C20" i="29" s="1"/>
  <c r="E20" i="29"/>
  <c r="AD14" i="29"/>
  <c r="AC14" i="29"/>
  <c r="AB14" i="29"/>
  <c r="AA14" i="29"/>
  <c r="Z14" i="29"/>
  <c r="J14" i="29"/>
  <c r="F14" i="29"/>
  <c r="AC13" i="29"/>
  <c r="AB13" i="29"/>
  <c r="AA13" i="29"/>
  <c r="Z13" i="29"/>
  <c r="N13" i="29"/>
  <c r="M13" i="29"/>
  <c r="L13" i="29"/>
  <c r="K13" i="29"/>
  <c r="J13" i="29"/>
  <c r="AM12" i="29"/>
  <c r="AL12" i="29"/>
  <c r="AK12" i="29"/>
  <c r="AB12" i="29"/>
  <c r="AA12" i="29"/>
  <c r="Z12" i="29"/>
  <c r="J12" i="29"/>
  <c r="I12" i="29"/>
  <c r="H12" i="29"/>
  <c r="F12" i="29"/>
  <c r="D12" i="29"/>
  <c r="AL11" i="29"/>
  <c r="AK11" i="29"/>
  <c r="AA11" i="29"/>
  <c r="Z11" i="29"/>
  <c r="J11" i="29"/>
  <c r="I11" i="29"/>
  <c r="H11" i="29"/>
  <c r="F11" i="29"/>
  <c r="AK10" i="29"/>
  <c r="Z10" i="29"/>
  <c r="K10" i="29"/>
  <c r="J10" i="29"/>
  <c r="J9" i="29"/>
  <c r="H9" i="29"/>
  <c r="F9" i="29"/>
  <c r="H57" i="28"/>
  <c r="J57" i="28" s="1"/>
  <c r="N57" i="28" s="1"/>
  <c r="J56" i="28"/>
  <c r="N56" i="28" s="1"/>
  <c r="H56" i="28"/>
  <c r="H55" i="28"/>
  <c r="J55" i="28" s="1"/>
  <c r="N55" i="28" s="1"/>
  <c r="M54" i="28"/>
  <c r="L54" i="28"/>
  <c r="K54" i="28"/>
  <c r="I54" i="28"/>
  <c r="G54" i="28"/>
  <c r="F54" i="28"/>
  <c r="E54" i="28"/>
  <c r="C54" i="28"/>
  <c r="H53" i="28"/>
  <c r="J53" i="28" s="1"/>
  <c r="N53" i="28" s="1"/>
  <c r="H52" i="28"/>
  <c r="J52" i="28" s="1"/>
  <c r="N52" i="28" s="1"/>
  <c r="H51" i="28"/>
  <c r="J51" i="28" s="1"/>
  <c r="N51" i="28" s="1"/>
  <c r="M50" i="28"/>
  <c r="L50" i="28"/>
  <c r="K50" i="28"/>
  <c r="I50" i="28"/>
  <c r="G50" i="28"/>
  <c r="F50" i="28"/>
  <c r="E50" i="28"/>
  <c r="C50" i="28"/>
  <c r="H49" i="28"/>
  <c r="J49" i="28" s="1"/>
  <c r="N49" i="28" s="1"/>
  <c r="H48" i="28"/>
  <c r="J48" i="28" s="1"/>
  <c r="N48" i="28" s="1"/>
  <c r="H47" i="28"/>
  <c r="J47" i="28" s="1"/>
  <c r="N47" i="28" s="1"/>
  <c r="N46" i="28"/>
  <c r="H46" i="28"/>
  <c r="J46" i="28" s="1"/>
  <c r="H45" i="28"/>
  <c r="J45" i="28" s="1"/>
  <c r="N45" i="28" s="1"/>
  <c r="H44" i="28"/>
  <c r="J44" i="28" s="1"/>
  <c r="N44" i="28" s="1"/>
  <c r="M43" i="28"/>
  <c r="L43" i="28"/>
  <c r="K43" i="28"/>
  <c r="I43" i="28"/>
  <c r="G43" i="28"/>
  <c r="F43" i="28"/>
  <c r="E43" i="28"/>
  <c r="D43" i="28"/>
  <c r="C43" i="28"/>
  <c r="H42" i="28"/>
  <c r="J42" i="28" s="1"/>
  <c r="N42" i="28" s="1"/>
  <c r="A42" i="28"/>
  <c r="H41" i="28"/>
  <c r="J41" i="28" s="1"/>
  <c r="N41" i="28" s="1"/>
  <c r="A41" i="28"/>
  <c r="H40" i="28"/>
  <c r="J40" i="28" s="1"/>
  <c r="N40" i="28" s="1"/>
  <c r="A40" i="28"/>
  <c r="H39" i="28"/>
  <c r="J39" i="28" s="1"/>
  <c r="N39" i="28" s="1"/>
  <c r="A39" i="28"/>
  <c r="H38" i="28"/>
  <c r="J38" i="28" s="1"/>
  <c r="N38" i="28" s="1"/>
  <c r="A38" i="28"/>
  <c r="H37" i="28"/>
  <c r="J37" i="28" s="1"/>
  <c r="N37" i="28" s="1"/>
  <c r="A37" i="28"/>
  <c r="H36" i="28"/>
  <c r="J36" i="28" s="1"/>
  <c r="N36" i="28" s="1"/>
  <c r="A36" i="28"/>
  <c r="M35" i="28"/>
  <c r="L35" i="28"/>
  <c r="K35" i="28"/>
  <c r="I35" i="28"/>
  <c r="G35" i="28"/>
  <c r="F35" i="28"/>
  <c r="E35" i="28"/>
  <c r="D35" i="28"/>
  <c r="C35" i="28"/>
  <c r="A35" i="28"/>
  <c r="T28" i="28"/>
  <c r="S28" i="28"/>
  <c r="R28" i="28"/>
  <c r="Q28" i="28"/>
  <c r="M28" i="28"/>
  <c r="L28" i="28"/>
  <c r="K28" i="28"/>
  <c r="I28" i="28"/>
  <c r="G28" i="28"/>
  <c r="F28" i="28"/>
  <c r="E28" i="28"/>
  <c r="C27" i="28"/>
  <c r="H27" i="28" s="1"/>
  <c r="J27" i="28" s="1"/>
  <c r="N27" i="28" s="1"/>
  <c r="J26" i="28"/>
  <c r="N26" i="28" s="1"/>
  <c r="C26" i="28"/>
  <c r="H26" i="28" s="1"/>
  <c r="C25" i="28"/>
  <c r="H25" i="28" s="1"/>
  <c r="J25" i="28" s="1"/>
  <c r="N25" i="28" s="1"/>
  <c r="T24" i="28"/>
  <c r="S24" i="28"/>
  <c r="R24" i="28"/>
  <c r="Q24" i="28"/>
  <c r="M24" i="28"/>
  <c r="L24" i="28"/>
  <c r="K24" i="28"/>
  <c r="I24" i="28"/>
  <c r="G24" i="28"/>
  <c r="F24" i="28"/>
  <c r="E24" i="28"/>
  <c r="T17" i="28"/>
  <c r="S17" i="28"/>
  <c r="R17" i="28"/>
  <c r="Q17" i="28"/>
  <c r="M17" i="28"/>
  <c r="L17" i="28"/>
  <c r="K17" i="28"/>
  <c r="I17" i="28"/>
  <c r="G17" i="28"/>
  <c r="F17" i="28"/>
  <c r="E17" i="28"/>
  <c r="D17" i="28"/>
  <c r="T9" i="28"/>
  <c r="S9" i="28"/>
  <c r="R9" i="28"/>
  <c r="Q9" i="28"/>
  <c r="M9" i="28"/>
  <c r="L9" i="28"/>
  <c r="K9" i="28"/>
  <c r="I9" i="28"/>
  <c r="G9" i="28"/>
  <c r="F9" i="28"/>
  <c r="E9" i="28"/>
  <c r="D9" i="28"/>
  <c r="F93" i="27"/>
  <c r="F65" i="27" s="1"/>
  <c r="D92" i="27"/>
  <c r="D91" i="27"/>
  <c r="D90" i="27"/>
  <c r="D89" i="27"/>
  <c r="F88" i="27"/>
  <c r="F51" i="27" s="1"/>
  <c r="F31" i="27" s="1"/>
  <c r="D87" i="27"/>
  <c r="D86" i="27"/>
  <c r="D88" i="27" s="1"/>
  <c r="F85" i="27"/>
  <c r="F58" i="27" s="1"/>
  <c r="D84" i="27"/>
  <c r="D83" i="27"/>
  <c r="D81" i="27"/>
  <c r="D78" i="27"/>
  <c r="F77" i="27"/>
  <c r="D76" i="27"/>
  <c r="D75" i="27"/>
  <c r="D77" i="27" s="1"/>
  <c r="D60" i="27" s="1"/>
  <c r="F74" i="27"/>
  <c r="F61" i="27" s="1"/>
  <c r="F49" i="27" s="1"/>
  <c r="F29" i="27" s="1"/>
  <c r="D73" i="27"/>
  <c r="D72" i="27"/>
  <c r="F67" i="27"/>
  <c r="D67" i="27"/>
  <c r="F59" i="27"/>
  <c r="D59" i="27"/>
  <c r="D51" i="27"/>
  <c r="D31" i="27" s="1"/>
  <c r="F45" i="27"/>
  <c r="C14" i="26"/>
  <c r="C11" i="26"/>
  <c r="J1" i="26"/>
  <c r="H128" i="25"/>
  <c r="G128" i="25" s="1"/>
  <c r="H127" i="25"/>
  <c r="G127" i="25" s="1"/>
  <c r="H126" i="25"/>
  <c r="G126" i="25" s="1"/>
  <c r="H125" i="25"/>
  <c r="G125" i="25"/>
  <c r="H124" i="25"/>
  <c r="G124" i="25" s="1"/>
  <c r="H123" i="25"/>
  <c r="G123" i="25"/>
  <c r="H122" i="25"/>
  <c r="G122" i="25" s="1"/>
  <c r="H121" i="25"/>
  <c r="G121" i="25" s="1"/>
  <c r="H120" i="25"/>
  <c r="G120" i="25" s="1"/>
  <c r="H119" i="25"/>
  <c r="G119" i="25" s="1"/>
  <c r="H118" i="25"/>
  <c r="G118" i="25" s="1"/>
  <c r="H117" i="25"/>
  <c r="G117" i="25"/>
  <c r="H116" i="25"/>
  <c r="G116" i="25" s="1"/>
  <c r="H115" i="25"/>
  <c r="G115" i="25" s="1"/>
  <c r="H114" i="25"/>
  <c r="G114" i="25" s="1"/>
  <c r="H113" i="25"/>
  <c r="G113" i="25" s="1"/>
  <c r="H112" i="25"/>
  <c r="G112" i="25" s="1"/>
  <c r="H111" i="25"/>
  <c r="G111" i="25" s="1"/>
  <c r="H110" i="25"/>
  <c r="G110" i="25" s="1"/>
  <c r="H109" i="25"/>
  <c r="G109" i="25"/>
  <c r="H108" i="25"/>
  <c r="G108" i="25" s="1"/>
  <c r="H107" i="25"/>
  <c r="G107" i="25" s="1"/>
  <c r="H106" i="25"/>
  <c r="G106" i="25" s="1"/>
  <c r="H105" i="25"/>
  <c r="G105" i="25" s="1"/>
  <c r="H104" i="25"/>
  <c r="G104" i="25" s="1"/>
  <c r="H103" i="25"/>
  <c r="G103" i="25" s="1"/>
  <c r="H102" i="25"/>
  <c r="G102" i="25" s="1"/>
  <c r="H101" i="25"/>
  <c r="G101" i="25"/>
  <c r="H100" i="25"/>
  <c r="G100" i="25" s="1"/>
  <c r="H99" i="25"/>
  <c r="G99" i="25"/>
  <c r="H98" i="25"/>
  <c r="G98" i="25" s="1"/>
  <c r="H97" i="25"/>
  <c r="G97" i="25"/>
  <c r="H96" i="25"/>
  <c r="G96" i="25" s="1"/>
  <c r="H95" i="25"/>
  <c r="G95" i="25"/>
  <c r="H94" i="25"/>
  <c r="G94" i="25" s="1"/>
  <c r="H93" i="25"/>
  <c r="G93" i="25"/>
  <c r="H92" i="25"/>
  <c r="G92" i="25" s="1"/>
  <c r="H91" i="25"/>
  <c r="G91" i="25"/>
  <c r="H90" i="25"/>
  <c r="G90" i="25" s="1"/>
  <c r="H89" i="25"/>
  <c r="G89" i="25"/>
  <c r="H88" i="25"/>
  <c r="G88" i="25" s="1"/>
  <c r="H87" i="25"/>
  <c r="G87" i="25"/>
  <c r="H86" i="25"/>
  <c r="G86" i="25" s="1"/>
  <c r="H85" i="25"/>
  <c r="G85" i="25"/>
  <c r="H84" i="25"/>
  <c r="G84" i="25" s="1"/>
  <c r="H83" i="25"/>
  <c r="G83" i="25"/>
  <c r="H82" i="25"/>
  <c r="G82" i="25" s="1"/>
  <c r="H81" i="25"/>
  <c r="G81" i="25"/>
  <c r="H80" i="25"/>
  <c r="G80" i="25" s="1"/>
  <c r="H79" i="25"/>
  <c r="G79" i="25"/>
  <c r="H78" i="25"/>
  <c r="G78" i="25" s="1"/>
  <c r="H77" i="25"/>
  <c r="G77" i="25"/>
  <c r="H76" i="25"/>
  <c r="G76" i="25" s="1"/>
  <c r="H75" i="25"/>
  <c r="G75" i="25"/>
  <c r="H74" i="25"/>
  <c r="G74" i="25" s="1"/>
  <c r="H73" i="25"/>
  <c r="G73" i="25"/>
  <c r="H72" i="25"/>
  <c r="G72" i="25" s="1"/>
  <c r="H71" i="25"/>
  <c r="G71" i="25"/>
  <c r="H70" i="25"/>
  <c r="G70" i="25" s="1"/>
  <c r="H69" i="25"/>
  <c r="G69" i="25"/>
  <c r="H68" i="25"/>
  <c r="G68" i="25" s="1"/>
  <c r="H67" i="25"/>
  <c r="G67" i="25"/>
  <c r="H66" i="25"/>
  <c r="G66" i="25" s="1"/>
  <c r="H65" i="25"/>
  <c r="G65" i="25"/>
  <c r="H64" i="25"/>
  <c r="G64" i="25" s="1"/>
  <c r="H63" i="25"/>
  <c r="G63" i="25"/>
  <c r="H62" i="25"/>
  <c r="G62" i="25" s="1"/>
  <c r="H61" i="25"/>
  <c r="G61" i="25"/>
  <c r="H60" i="25"/>
  <c r="G60" i="25" s="1"/>
  <c r="H59" i="25"/>
  <c r="G59" i="25"/>
  <c r="H58" i="25"/>
  <c r="G58" i="25" s="1"/>
  <c r="H57" i="25"/>
  <c r="G57" i="25"/>
  <c r="H56" i="25"/>
  <c r="G56" i="25" s="1"/>
  <c r="H55" i="25"/>
  <c r="G55" i="25"/>
  <c r="H54" i="25"/>
  <c r="G54" i="25" s="1"/>
  <c r="H53" i="25"/>
  <c r="G53" i="25"/>
  <c r="H52" i="25"/>
  <c r="G52" i="25" s="1"/>
  <c r="H51" i="25"/>
  <c r="G51" i="25"/>
  <c r="H50" i="25"/>
  <c r="G50" i="25" s="1"/>
  <c r="H49" i="25"/>
  <c r="G49" i="25"/>
  <c r="H48" i="25"/>
  <c r="G48" i="25" s="1"/>
  <c r="H47" i="25"/>
  <c r="G47" i="25"/>
  <c r="H46" i="25"/>
  <c r="G46" i="25" s="1"/>
  <c r="H45" i="25"/>
  <c r="G45" i="25"/>
  <c r="H44" i="25"/>
  <c r="G44" i="25" s="1"/>
  <c r="H43" i="25"/>
  <c r="G43" i="25"/>
  <c r="H42" i="25"/>
  <c r="G42" i="25" s="1"/>
  <c r="H41" i="25"/>
  <c r="G41" i="25"/>
  <c r="H40" i="25"/>
  <c r="G40" i="25" s="1"/>
  <c r="C20" i="25"/>
  <c r="H39" i="25" s="1"/>
  <c r="E1" i="25"/>
  <c r="C172" i="24"/>
  <c r="C171" i="24"/>
  <c r="C170" i="24"/>
  <c r="C169" i="24"/>
  <c r="C168" i="24"/>
  <c r="C167" i="24"/>
  <c r="I166" i="24"/>
  <c r="H166" i="24"/>
  <c r="G166" i="24"/>
  <c r="F166" i="24"/>
  <c r="E166" i="24"/>
  <c r="D166" i="24"/>
  <c r="C165" i="24"/>
  <c r="C164" i="24"/>
  <c r="C163" i="24"/>
  <c r="C162" i="24"/>
  <c r="C160" i="24"/>
  <c r="I159" i="24"/>
  <c r="H159" i="24"/>
  <c r="G159" i="24"/>
  <c r="F159" i="24"/>
  <c r="F150" i="24" s="1"/>
  <c r="F148" i="24" s="1"/>
  <c r="E159" i="24"/>
  <c r="D159" i="24"/>
  <c r="C158" i="24"/>
  <c r="C157" i="24"/>
  <c r="C156" i="24"/>
  <c r="C155" i="24"/>
  <c r="C154" i="24"/>
  <c r="C151" i="24" s="1"/>
  <c r="C153" i="24"/>
  <c r="C152" i="24"/>
  <c r="I151" i="24"/>
  <c r="H151" i="24"/>
  <c r="G151" i="24"/>
  <c r="F151" i="24"/>
  <c r="E151" i="24"/>
  <c r="D151" i="24"/>
  <c r="E150" i="24"/>
  <c r="E148" i="24" s="1"/>
  <c r="C149" i="24"/>
  <c r="I138" i="24"/>
  <c r="H138" i="24"/>
  <c r="G138" i="24"/>
  <c r="F138" i="24"/>
  <c r="C138" i="24"/>
  <c r="I137" i="24"/>
  <c r="K137" i="24" s="1"/>
  <c r="H137" i="24"/>
  <c r="G137" i="24"/>
  <c r="F137" i="24"/>
  <c r="J137" i="24" s="1"/>
  <c r="E137" i="24"/>
  <c r="C137" i="24"/>
  <c r="I136" i="24"/>
  <c r="H136" i="24"/>
  <c r="H135" i="24" s="1"/>
  <c r="G136" i="24"/>
  <c r="F136" i="24"/>
  <c r="E136" i="24" s="1"/>
  <c r="D136" i="24" s="1"/>
  <c r="C136" i="24"/>
  <c r="C29" i="28" s="1"/>
  <c r="H29" i="28" s="1"/>
  <c r="J29" i="28" s="1"/>
  <c r="N29" i="28" s="1"/>
  <c r="G135" i="24"/>
  <c r="K134" i="24"/>
  <c r="L134" i="24" s="1"/>
  <c r="J134" i="24"/>
  <c r="E134" i="24"/>
  <c r="D134" i="24"/>
  <c r="K133" i="24"/>
  <c r="J133" i="24"/>
  <c r="E133" i="24"/>
  <c r="D133" i="24" s="1"/>
  <c r="K132" i="24"/>
  <c r="K131" i="24" s="1"/>
  <c r="J132" i="24"/>
  <c r="E132" i="24"/>
  <c r="D132" i="24"/>
  <c r="I131" i="24"/>
  <c r="H131" i="24"/>
  <c r="G131" i="24"/>
  <c r="F131" i="24"/>
  <c r="E131" i="24"/>
  <c r="D131" i="24" s="1"/>
  <c r="C131" i="24"/>
  <c r="C24" i="28" s="1"/>
  <c r="H24" i="28" s="1"/>
  <c r="I129" i="24"/>
  <c r="G129" i="24"/>
  <c r="C129" i="24"/>
  <c r="I128" i="24"/>
  <c r="G128" i="24"/>
  <c r="C128" i="24"/>
  <c r="I127" i="24"/>
  <c r="G127" i="24"/>
  <c r="C127" i="24"/>
  <c r="I126" i="24"/>
  <c r="G126" i="24"/>
  <c r="C126" i="24"/>
  <c r="C20" i="28" s="1"/>
  <c r="H20" i="28" s="1"/>
  <c r="I125" i="24"/>
  <c r="G125" i="24"/>
  <c r="K125" i="24" s="1"/>
  <c r="L125" i="24" s="1"/>
  <c r="E125" i="24"/>
  <c r="D125" i="24" s="1"/>
  <c r="C125" i="24"/>
  <c r="C19" i="28" s="1"/>
  <c r="H19" i="28" s="1"/>
  <c r="I124" i="24"/>
  <c r="G124" i="24"/>
  <c r="C124" i="24"/>
  <c r="C18" i="28" s="1"/>
  <c r="H18" i="28" s="1"/>
  <c r="I122" i="24"/>
  <c r="G122" i="24"/>
  <c r="K122" i="24" s="1"/>
  <c r="L122" i="24" s="1"/>
  <c r="C122" i="24"/>
  <c r="C16" i="28" s="1"/>
  <c r="H16" i="28" s="1"/>
  <c r="I121" i="24"/>
  <c r="K121" i="24" s="1"/>
  <c r="L121" i="24" s="1"/>
  <c r="G121" i="24"/>
  <c r="E121" i="24" s="1"/>
  <c r="D121" i="24"/>
  <c r="C121" i="24"/>
  <c r="C15" i="28" s="1"/>
  <c r="H15" i="28" s="1"/>
  <c r="I120" i="24"/>
  <c r="G120" i="24"/>
  <c r="K120" i="24" s="1"/>
  <c r="L120" i="24" s="1"/>
  <c r="E120" i="24"/>
  <c r="D120" i="24" s="1"/>
  <c r="C120" i="24"/>
  <c r="C14" i="28" s="1"/>
  <c r="H14" i="28" s="1"/>
  <c r="K119" i="24"/>
  <c r="L119" i="24" s="1"/>
  <c r="I119" i="24"/>
  <c r="G119" i="24"/>
  <c r="E119" i="24" s="1"/>
  <c r="C119" i="24"/>
  <c r="C13" i="28" s="1"/>
  <c r="H13" i="28" s="1"/>
  <c r="I118" i="24"/>
  <c r="G118" i="24"/>
  <c r="K118" i="24" s="1"/>
  <c r="L118" i="24" s="1"/>
  <c r="C118" i="24"/>
  <c r="C12" i="28" s="1"/>
  <c r="H12" i="28" s="1"/>
  <c r="I117" i="24"/>
  <c r="I115" i="24" s="1"/>
  <c r="G117" i="24"/>
  <c r="E117" i="24" s="1"/>
  <c r="D117" i="24"/>
  <c r="C117" i="24"/>
  <c r="C11" i="28" s="1"/>
  <c r="H11" i="28" s="1"/>
  <c r="I116" i="24"/>
  <c r="G116" i="24"/>
  <c r="E116" i="24"/>
  <c r="D116" i="24" s="1"/>
  <c r="C116" i="24"/>
  <c r="C10" i="28" s="1"/>
  <c r="H10" i="28" s="1"/>
  <c r="K113" i="24"/>
  <c r="L113" i="24" s="1"/>
  <c r="E45" i="10" s="1"/>
  <c r="D113" i="24"/>
  <c r="D101" i="24"/>
  <c r="D100" i="24"/>
  <c r="D99" i="24"/>
  <c r="D98" i="24"/>
  <c r="E91" i="24"/>
  <c r="J90" i="24"/>
  <c r="G90" i="24"/>
  <c r="E90" i="24"/>
  <c r="C90" i="24"/>
  <c r="D90" i="24" s="1"/>
  <c r="L90" i="24" s="1"/>
  <c r="G89" i="24"/>
  <c r="E89" i="24"/>
  <c r="C89" i="24"/>
  <c r="J88" i="24"/>
  <c r="G88" i="24"/>
  <c r="H88" i="24" s="1"/>
  <c r="E88" i="24"/>
  <c r="C88" i="24"/>
  <c r="D88" i="24" s="1"/>
  <c r="L88" i="24" s="1"/>
  <c r="J87" i="24"/>
  <c r="G87" i="24"/>
  <c r="E87" i="24"/>
  <c r="D87" i="24"/>
  <c r="L87" i="24" s="1"/>
  <c r="C87" i="24"/>
  <c r="G86" i="24"/>
  <c r="E86" i="24"/>
  <c r="J86" i="24" s="1"/>
  <c r="C86" i="24"/>
  <c r="G85" i="24"/>
  <c r="E85" i="24"/>
  <c r="C85" i="24"/>
  <c r="J84" i="24"/>
  <c r="G84" i="24"/>
  <c r="E84" i="24"/>
  <c r="C84" i="24"/>
  <c r="D84" i="24" s="1"/>
  <c r="J83" i="24"/>
  <c r="G83" i="24"/>
  <c r="E83" i="24"/>
  <c r="D83" i="24"/>
  <c r="L83" i="24" s="1"/>
  <c r="C83" i="24"/>
  <c r="G82" i="24"/>
  <c r="E82" i="24"/>
  <c r="J82" i="24" s="1"/>
  <c r="C82" i="24"/>
  <c r="G81" i="24"/>
  <c r="E81" i="24"/>
  <c r="C81" i="24"/>
  <c r="J80" i="24"/>
  <c r="G80" i="24"/>
  <c r="E80" i="24"/>
  <c r="C80" i="24"/>
  <c r="K79" i="24"/>
  <c r="G78" i="24"/>
  <c r="E78" i="24"/>
  <c r="F78" i="24" s="1"/>
  <c r="C78" i="24"/>
  <c r="G77" i="24"/>
  <c r="E77" i="24"/>
  <c r="C77" i="24"/>
  <c r="G76" i="24"/>
  <c r="E76" i="24"/>
  <c r="D76" i="24"/>
  <c r="C76" i="24"/>
  <c r="G75" i="24"/>
  <c r="E75" i="24"/>
  <c r="C75" i="24"/>
  <c r="G74" i="24"/>
  <c r="H74" i="24" s="1"/>
  <c r="E74" i="24"/>
  <c r="C74" i="24"/>
  <c r="D74" i="24" s="1"/>
  <c r="L74" i="24" s="1"/>
  <c r="G73" i="24"/>
  <c r="E73" i="24"/>
  <c r="C73" i="24"/>
  <c r="J72" i="24"/>
  <c r="G72" i="24"/>
  <c r="E72" i="24"/>
  <c r="F72" i="24" s="1"/>
  <c r="C72" i="24"/>
  <c r="G71" i="24"/>
  <c r="E71" i="24"/>
  <c r="C71" i="24"/>
  <c r="J70" i="24"/>
  <c r="G70" i="24"/>
  <c r="E70" i="24"/>
  <c r="C70" i="24"/>
  <c r="D70" i="24" s="1"/>
  <c r="G69" i="24"/>
  <c r="E69" i="24"/>
  <c r="C69" i="24"/>
  <c r="J68" i="24"/>
  <c r="G68" i="24"/>
  <c r="E68" i="24"/>
  <c r="C68" i="24"/>
  <c r="D68" i="24" s="1"/>
  <c r="G67" i="24"/>
  <c r="G65" i="24" s="1"/>
  <c r="E67" i="24"/>
  <c r="C67" i="24"/>
  <c r="J66" i="24"/>
  <c r="G66" i="24"/>
  <c r="E66" i="24"/>
  <c r="F66" i="24" s="1"/>
  <c r="D66" i="24"/>
  <c r="L66" i="24" s="1"/>
  <c r="C66" i="24"/>
  <c r="K65" i="24"/>
  <c r="C65" i="24"/>
  <c r="J62" i="24"/>
  <c r="G62" i="24"/>
  <c r="E62" i="24"/>
  <c r="F62" i="24" s="1"/>
  <c r="D62" i="24"/>
  <c r="C62" i="24"/>
  <c r="G61" i="24"/>
  <c r="E61" i="24"/>
  <c r="C61" i="24"/>
  <c r="J60" i="24"/>
  <c r="G60" i="24"/>
  <c r="E60" i="24"/>
  <c r="F60" i="24" s="1"/>
  <c r="C60" i="24"/>
  <c r="D60" i="24" s="1"/>
  <c r="G59" i="24"/>
  <c r="E59" i="24"/>
  <c r="C59" i="24"/>
  <c r="J58" i="24"/>
  <c r="G58" i="24"/>
  <c r="E58" i="24"/>
  <c r="F58" i="24" s="1"/>
  <c r="C58" i="24"/>
  <c r="D58" i="24" s="1"/>
  <c r="L58" i="24" s="1"/>
  <c r="G57" i="24"/>
  <c r="E57" i="24"/>
  <c r="C57" i="24"/>
  <c r="D57" i="24" s="1"/>
  <c r="J56" i="24"/>
  <c r="G56" i="24"/>
  <c r="E56" i="24"/>
  <c r="F56" i="24" s="1"/>
  <c r="C56" i="24"/>
  <c r="D56" i="24" s="1"/>
  <c r="L56" i="24" s="1"/>
  <c r="G55" i="24"/>
  <c r="E55" i="24"/>
  <c r="C55" i="24"/>
  <c r="D55" i="24" s="1"/>
  <c r="J54" i="24"/>
  <c r="G54" i="24"/>
  <c r="E54" i="24"/>
  <c r="C54" i="24"/>
  <c r="D54" i="24" s="1"/>
  <c r="G53" i="24"/>
  <c r="E53" i="24"/>
  <c r="C53" i="24"/>
  <c r="J52" i="24"/>
  <c r="G52" i="24"/>
  <c r="E52" i="24"/>
  <c r="C52" i="24"/>
  <c r="K51" i="24"/>
  <c r="L50" i="24"/>
  <c r="G50" i="24"/>
  <c r="H50" i="24" s="1"/>
  <c r="C50" i="24"/>
  <c r="E50" i="24" s="1"/>
  <c r="G49" i="24"/>
  <c r="E49" i="24"/>
  <c r="J49" i="24" s="1"/>
  <c r="C49" i="24"/>
  <c r="D49" i="24" s="1"/>
  <c r="L49" i="24" s="1"/>
  <c r="G48" i="24"/>
  <c r="E48" i="24"/>
  <c r="C48" i="24"/>
  <c r="G47" i="24"/>
  <c r="E47" i="24"/>
  <c r="J47" i="24" s="1"/>
  <c r="C47" i="24"/>
  <c r="G46" i="24"/>
  <c r="E46" i="24"/>
  <c r="D46" i="24" s="1"/>
  <c r="C46" i="24"/>
  <c r="G45" i="24"/>
  <c r="E45" i="24"/>
  <c r="J45" i="24" s="1"/>
  <c r="C45" i="24"/>
  <c r="G44" i="24"/>
  <c r="E44" i="24"/>
  <c r="C44" i="24"/>
  <c r="G43" i="24"/>
  <c r="E43" i="24"/>
  <c r="J43" i="24" s="1"/>
  <c r="C43" i="24"/>
  <c r="D43" i="24" s="1"/>
  <c r="G42" i="24"/>
  <c r="E42" i="24"/>
  <c r="J42" i="24" s="1"/>
  <c r="D42" i="24"/>
  <c r="C42" i="24"/>
  <c r="K41" i="24"/>
  <c r="G40" i="24"/>
  <c r="E40" i="24"/>
  <c r="D40" i="24" s="1"/>
  <c r="C40" i="24"/>
  <c r="G39" i="24"/>
  <c r="F39" i="24"/>
  <c r="E39" i="24"/>
  <c r="J39" i="24" s="1"/>
  <c r="C39" i="24"/>
  <c r="G38" i="24"/>
  <c r="E38" i="24"/>
  <c r="C38" i="24"/>
  <c r="D38" i="24" s="1"/>
  <c r="G36" i="24"/>
  <c r="C23" i="15" s="1"/>
  <c r="E36" i="24"/>
  <c r="J36" i="24" s="1"/>
  <c r="C36" i="24"/>
  <c r="D36" i="24" s="1"/>
  <c r="G35" i="24"/>
  <c r="E35" i="24"/>
  <c r="C35" i="24"/>
  <c r="D35" i="24" s="1"/>
  <c r="G34" i="24"/>
  <c r="E34" i="24"/>
  <c r="J34" i="24" s="1"/>
  <c r="C34" i="24"/>
  <c r="D34" i="24" s="1"/>
  <c r="G33" i="24"/>
  <c r="E33" i="24"/>
  <c r="D33" i="24"/>
  <c r="H33" i="24" s="1"/>
  <c r="C33" i="24"/>
  <c r="G32" i="24"/>
  <c r="E32" i="24"/>
  <c r="J32" i="24" s="1"/>
  <c r="C32" i="24"/>
  <c r="G31" i="24"/>
  <c r="E31" i="24"/>
  <c r="C31" i="24"/>
  <c r="D31" i="24" s="1"/>
  <c r="G30" i="24"/>
  <c r="F30" i="24"/>
  <c r="E30" i="24"/>
  <c r="J30" i="24" s="1"/>
  <c r="C30" i="24"/>
  <c r="D30" i="24" s="1"/>
  <c r="G29" i="24"/>
  <c r="E29" i="24"/>
  <c r="C29" i="24"/>
  <c r="D29" i="24" s="1"/>
  <c r="G28" i="24"/>
  <c r="E28" i="24"/>
  <c r="J28" i="24" s="1"/>
  <c r="C28" i="24"/>
  <c r="D28" i="24" s="1"/>
  <c r="G27" i="24"/>
  <c r="E27" i="24"/>
  <c r="C27" i="24"/>
  <c r="D27" i="24" s="1"/>
  <c r="G26" i="24"/>
  <c r="E26" i="24"/>
  <c r="J26" i="24" s="1"/>
  <c r="C26" i="24"/>
  <c r="D26" i="24" s="1"/>
  <c r="G25" i="24"/>
  <c r="E25" i="24"/>
  <c r="D25" i="24"/>
  <c r="H25" i="24" s="1"/>
  <c r="C25" i="24"/>
  <c r="G24" i="24"/>
  <c r="E24" i="24"/>
  <c r="J24" i="24" s="1"/>
  <c r="C24" i="24"/>
  <c r="G23" i="24"/>
  <c r="E23" i="24"/>
  <c r="C23" i="24"/>
  <c r="D23" i="24" s="1"/>
  <c r="G22" i="24"/>
  <c r="F22" i="24"/>
  <c r="E22" i="24"/>
  <c r="J22" i="24" s="1"/>
  <c r="C22" i="24"/>
  <c r="D22" i="24" s="1"/>
  <c r="G21" i="24"/>
  <c r="E21" i="24"/>
  <c r="D21" i="24"/>
  <c r="L21" i="24" s="1"/>
  <c r="C21" i="24"/>
  <c r="G20" i="24"/>
  <c r="C19" i="15" s="1"/>
  <c r="E20" i="24"/>
  <c r="J20" i="24" s="1"/>
  <c r="C20" i="24"/>
  <c r="G19" i="24"/>
  <c r="E19" i="24"/>
  <c r="C19" i="24"/>
  <c r="D19" i="24" s="1"/>
  <c r="G18" i="24"/>
  <c r="F18" i="24"/>
  <c r="E18" i="24"/>
  <c r="J18" i="24" s="1"/>
  <c r="C18" i="24"/>
  <c r="D18" i="24" s="1"/>
  <c r="G17" i="24"/>
  <c r="E17" i="24"/>
  <c r="D17" i="24"/>
  <c r="H17" i="24" s="1"/>
  <c r="C17" i="24"/>
  <c r="G16" i="24"/>
  <c r="E16" i="24"/>
  <c r="J16" i="24" s="1"/>
  <c r="C16" i="24"/>
  <c r="G15" i="24"/>
  <c r="E15" i="24"/>
  <c r="C15" i="24"/>
  <c r="D15" i="24" s="1"/>
  <c r="G14" i="24"/>
  <c r="F14" i="24"/>
  <c r="E14" i="24"/>
  <c r="J14" i="24" s="1"/>
  <c r="C14" i="24"/>
  <c r="D14" i="24" s="1"/>
  <c r="G13" i="24"/>
  <c r="C18" i="15" s="1"/>
  <c r="E13" i="24"/>
  <c r="D13" i="24"/>
  <c r="L13" i="24" s="1"/>
  <c r="C13" i="24"/>
  <c r="G12" i="24"/>
  <c r="G10" i="24" s="1"/>
  <c r="C21" i="15" s="1"/>
  <c r="E12" i="24"/>
  <c r="J12" i="24" s="1"/>
  <c r="C12" i="24"/>
  <c r="G11" i="24"/>
  <c r="E11" i="24"/>
  <c r="E10" i="24" s="1"/>
  <c r="C11" i="24"/>
  <c r="C10" i="24" s="1"/>
  <c r="K10" i="24"/>
  <c r="C21" i="31" s="1"/>
  <c r="K9" i="24"/>
  <c r="D16" i="23"/>
  <c r="C16" i="23"/>
  <c r="F153" i="22"/>
  <c r="E153" i="22"/>
  <c r="D153" i="22"/>
  <c r="F149" i="22"/>
  <c r="E149" i="22"/>
  <c r="D149" i="22"/>
  <c r="F145" i="22"/>
  <c r="E145" i="22"/>
  <c r="D145" i="22"/>
  <c r="F141" i="22"/>
  <c r="E141" i="22"/>
  <c r="D141" i="22"/>
  <c r="F137" i="22"/>
  <c r="E137" i="22"/>
  <c r="D137" i="22"/>
  <c r="F133" i="22"/>
  <c r="E133" i="22"/>
  <c r="D133" i="22"/>
  <c r="F123" i="22"/>
  <c r="E123" i="22"/>
  <c r="D123" i="22"/>
  <c r="F114" i="22"/>
  <c r="E114" i="22"/>
  <c r="D114" i="22"/>
  <c r="F105" i="22"/>
  <c r="E105" i="22"/>
  <c r="D105" i="22"/>
  <c r="F96" i="22"/>
  <c r="E96" i="22"/>
  <c r="D96" i="22"/>
  <c r="F87" i="22"/>
  <c r="E87" i="22"/>
  <c r="D87" i="22"/>
  <c r="F78" i="22"/>
  <c r="E78" i="22"/>
  <c r="D78" i="22"/>
  <c r="F63" i="22"/>
  <c r="E63" i="22"/>
  <c r="D63" i="22"/>
  <c r="F54" i="22"/>
  <c r="E54" i="22"/>
  <c r="D54" i="22"/>
  <c r="F45" i="22"/>
  <c r="E45" i="22"/>
  <c r="D45" i="22"/>
  <c r="F36" i="22"/>
  <c r="E36" i="22"/>
  <c r="D36" i="22"/>
  <c r="F27" i="22"/>
  <c r="E27" i="22"/>
  <c r="D27" i="22"/>
  <c r="F18" i="22"/>
  <c r="E18" i="22"/>
  <c r="D18" i="22"/>
  <c r="C128" i="21"/>
  <c r="D122" i="21"/>
  <c r="D121" i="21"/>
  <c r="A121" i="21"/>
  <c r="D120" i="21"/>
  <c r="A120" i="21"/>
  <c r="J119" i="21"/>
  <c r="I119" i="21"/>
  <c r="H119" i="21"/>
  <c r="G119" i="21"/>
  <c r="F119" i="21"/>
  <c r="E119" i="21"/>
  <c r="D119" i="21" s="1"/>
  <c r="A119" i="21"/>
  <c r="D118" i="21"/>
  <c r="A118" i="21"/>
  <c r="D117" i="21"/>
  <c r="A117" i="21"/>
  <c r="J116" i="21"/>
  <c r="I116" i="21"/>
  <c r="H116" i="21"/>
  <c r="G116" i="21"/>
  <c r="F116" i="21"/>
  <c r="E116" i="21"/>
  <c r="D116" i="21" s="1"/>
  <c r="D115" i="21" s="1"/>
  <c r="A116" i="21"/>
  <c r="J115" i="21"/>
  <c r="I115" i="21"/>
  <c r="H115" i="21"/>
  <c r="G115" i="21"/>
  <c r="F115" i="21"/>
  <c r="E115" i="21"/>
  <c r="D112" i="21"/>
  <c r="D111" i="21"/>
  <c r="A111" i="21"/>
  <c r="D110" i="21"/>
  <c r="A110" i="21"/>
  <c r="J109" i="21"/>
  <c r="I109" i="21"/>
  <c r="H109" i="21"/>
  <c r="G109" i="21"/>
  <c r="F109" i="21"/>
  <c r="E109" i="21"/>
  <c r="D109" i="21" s="1"/>
  <c r="A109" i="21"/>
  <c r="D108" i="21"/>
  <c r="A108" i="21"/>
  <c r="D107" i="21"/>
  <c r="A107" i="21"/>
  <c r="J106" i="21"/>
  <c r="I106" i="21"/>
  <c r="H106" i="21"/>
  <c r="G106" i="21"/>
  <c r="F106" i="21"/>
  <c r="E106" i="21"/>
  <c r="D106" i="21" s="1"/>
  <c r="A106" i="21"/>
  <c r="J105" i="21"/>
  <c r="I105" i="21"/>
  <c r="H105" i="21"/>
  <c r="G105" i="21"/>
  <c r="F105" i="21"/>
  <c r="E105" i="21"/>
  <c r="D102" i="21"/>
  <c r="C102" i="21" s="1"/>
  <c r="D101" i="21"/>
  <c r="C101" i="21"/>
  <c r="C99" i="21" s="1"/>
  <c r="A101" i="21"/>
  <c r="D100" i="21"/>
  <c r="C100" i="21"/>
  <c r="A100" i="21"/>
  <c r="J99" i="21"/>
  <c r="I99" i="21"/>
  <c r="H99" i="21"/>
  <c r="G99" i="21"/>
  <c r="D99" i="21" s="1"/>
  <c r="F99" i="21"/>
  <c r="E99" i="21"/>
  <c r="A99" i="21"/>
  <c r="D98" i="21"/>
  <c r="C98" i="21" s="1"/>
  <c r="C96" i="21" s="1"/>
  <c r="A98" i="21"/>
  <c r="D97" i="21"/>
  <c r="C97" i="21"/>
  <c r="A97" i="21"/>
  <c r="J96" i="21"/>
  <c r="I96" i="21"/>
  <c r="H96" i="21"/>
  <c r="G96" i="21"/>
  <c r="F96" i="21"/>
  <c r="E96" i="21"/>
  <c r="E95" i="21" s="1"/>
  <c r="A96" i="21"/>
  <c r="I95" i="21"/>
  <c r="D92" i="21"/>
  <c r="D91" i="21"/>
  <c r="J90" i="21"/>
  <c r="I90" i="21"/>
  <c r="H90" i="21"/>
  <c r="G90" i="21"/>
  <c r="F90" i="21"/>
  <c r="E90" i="21"/>
  <c r="D89" i="21"/>
  <c r="D88" i="21"/>
  <c r="J87" i="21"/>
  <c r="J86" i="21" s="1"/>
  <c r="I87" i="21"/>
  <c r="H87" i="21"/>
  <c r="G87" i="21"/>
  <c r="G86" i="21" s="1"/>
  <c r="F87" i="21"/>
  <c r="F86" i="21" s="1"/>
  <c r="E87" i="21"/>
  <c r="E86" i="21" s="1"/>
  <c r="H86" i="21"/>
  <c r="D83" i="21"/>
  <c r="D82" i="21"/>
  <c r="J81" i="21"/>
  <c r="I81" i="21"/>
  <c r="H81" i="21"/>
  <c r="G81" i="21"/>
  <c r="F81" i="21"/>
  <c r="E81" i="21"/>
  <c r="D80" i="21"/>
  <c r="D79" i="21"/>
  <c r="J78" i="21"/>
  <c r="J77" i="21" s="1"/>
  <c r="I78" i="21"/>
  <c r="H78" i="21"/>
  <c r="H77" i="21" s="1"/>
  <c r="G78" i="21"/>
  <c r="F78" i="21"/>
  <c r="E78" i="21"/>
  <c r="I77" i="21"/>
  <c r="G77" i="21"/>
  <c r="D74" i="21"/>
  <c r="D73" i="21"/>
  <c r="J72" i="21"/>
  <c r="I72" i="21"/>
  <c r="H72" i="21"/>
  <c r="G72" i="21"/>
  <c r="F72" i="21"/>
  <c r="E72" i="21"/>
  <c r="D71" i="21"/>
  <c r="D70" i="21"/>
  <c r="J69" i="21"/>
  <c r="I69" i="21"/>
  <c r="I68" i="21" s="1"/>
  <c r="H69" i="21"/>
  <c r="H68" i="21" s="1"/>
  <c r="G69" i="21"/>
  <c r="G68" i="21" s="1"/>
  <c r="F69" i="21"/>
  <c r="D69" i="21" s="1"/>
  <c r="E69" i="21"/>
  <c r="E68" i="21" s="1"/>
  <c r="D65" i="21"/>
  <c r="D64" i="21"/>
  <c r="J63" i="21"/>
  <c r="I63" i="21"/>
  <c r="H63" i="21"/>
  <c r="G63" i="21"/>
  <c r="F63" i="21"/>
  <c r="E63" i="21"/>
  <c r="D62" i="21"/>
  <c r="D61" i="21"/>
  <c r="J60" i="21"/>
  <c r="J59" i="21" s="1"/>
  <c r="I60" i="21"/>
  <c r="H60" i="21"/>
  <c r="H59" i="21" s="1"/>
  <c r="G60" i="21"/>
  <c r="F60" i="21"/>
  <c r="F59" i="21" s="1"/>
  <c r="E60" i="21"/>
  <c r="D60" i="21" s="1"/>
  <c r="E59" i="21"/>
  <c r="D56" i="21"/>
  <c r="D55" i="21"/>
  <c r="J54" i="21"/>
  <c r="I54" i="21"/>
  <c r="H54" i="21"/>
  <c r="G54" i="21"/>
  <c r="F54" i="21"/>
  <c r="E54" i="21"/>
  <c r="D53" i="21"/>
  <c r="B53" i="21"/>
  <c r="B54" i="21" s="1"/>
  <c r="B55" i="21" s="1"/>
  <c r="B56" i="21" s="1"/>
  <c r="D52" i="21"/>
  <c r="J51" i="21"/>
  <c r="I51" i="21"/>
  <c r="H51" i="21"/>
  <c r="H50" i="21" s="1"/>
  <c r="G51" i="21"/>
  <c r="F51" i="21"/>
  <c r="E51" i="21"/>
  <c r="J50" i="21"/>
  <c r="J47" i="21"/>
  <c r="I47" i="21"/>
  <c r="H47" i="21"/>
  <c r="H45" i="21" s="1"/>
  <c r="G47" i="21"/>
  <c r="F47" i="21"/>
  <c r="E47" i="21"/>
  <c r="D47" i="21"/>
  <c r="C47" i="21" s="1"/>
  <c r="J46" i="21"/>
  <c r="J45" i="21" s="1"/>
  <c r="I46" i="21"/>
  <c r="H46" i="21"/>
  <c r="G46" i="21"/>
  <c r="G45" i="21" s="1"/>
  <c r="F46" i="21"/>
  <c r="F45" i="21" s="1"/>
  <c r="E46" i="21"/>
  <c r="I45" i="21"/>
  <c r="E45" i="21"/>
  <c r="J44" i="21"/>
  <c r="I44" i="21"/>
  <c r="H44" i="21"/>
  <c r="G44" i="21"/>
  <c r="G42" i="21" s="1"/>
  <c r="G41" i="21" s="1"/>
  <c r="F44" i="21"/>
  <c r="E44" i="21"/>
  <c r="D44" i="21" s="1"/>
  <c r="C44" i="21" s="1"/>
  <c r="J43" i="21"/>
  <c r="J42" i="21" s="1"/>
  <c r="I43" i="21"/>
  <c r="H43" i="21"/>
  <c r="G43" i="21"/>
  <c r="F43" i="21"/>
  <c r="D43" i="21" s="1"/>
  <c r="C43" i="21" s="1"/>
  <c r="E43" i="21"/>
  <c r="E42" i="21" s="1"/>
  <c r="I42" i="21"/>
  <c r="I41" i="21" s="1"/>
  <c r="D38" i="21"/>
  <c r="D37" i="21"/>
  <c r="J36" i="21"/>
  <c r="I36" i="21"/>
  <c r="H36" i="21"/>
  <c r="G36" i="21"/>
  <c r="F36" i="21"/>
  <c r="E36" i="21"/>
  <c r="D35" i="21"/>
  <c r="D34" i="21"/>
  <c r="J33" i="21"/>
  <c r="J32" i="21" s="1"/>
  <c r="I33" i="21"/>
  <c r="H33" i="21"/>
  <c r="G33" i="21"/>
  <c r="G32" i="21" s="1"/>
  <c r="F33" i="21"/>
  <c r="F32" i="21" s="1"/>
  <c r="E33" i="21"/>
  <c r="H32" i="21"/>
  <c r="D29" i="21"/>
  <c r="D28" i="21"/>
  <c r="J27" i="21"/>
  <c r="I27" i="21"/>
  <c r="H27" i="21"/>
  <c r="G27" i="21"/>
  <c r="F27" i="21"/>
  <c r="E27" i="21"/>
  <c r="D26" i="21"/>
  <c r="D25" i="21"/>
  <c r="J24" i="21"/>
  <c r="J23" i="21" s="1"/>
  <c r="I24" i="21"/>
  <c r="I23" i="21" s="1"/>
  <c r="H24" i="21"/>
  <c r="H23" i="21" s="1"/>
  <c r="G24" i="21"/>
  <c r="F24" i="21"/>
  <c r="E24" i="21"/>
  <c r="G23" i="21"/>
  <c r="D20" i="21"/>
  <c r="C20" i="21"/>
  <c r="D19" i="21"/>
  <c r="C19" i="21" s="1"/>
  <c r="J18" i="21"/>
  <c r="I18" i="21"/>
  <c r="H18" i="21"/>
  <c r="H14" i="21" s="1"/>
  <c r="G18" i="21"/>
  <c r="F18" i="21"/>
  <c r="F14" i="21" s="1"/>
  <c r="E18" i="21"/>
  <c r="D18" i="21"/>
  <c r="D17" i="21"/>
  <c r="C17" i="21" s="1"/>
  <c r="D16" i="21"/>
  <c r="C16" i="21" s="1"/>
  <c r="C15" i="21" s="1"/>
  <c r="J15" i="21"/>
  <c r="I15" i="21"/>
  <c r="I14" i="21" s="1"/>
  <c r="H15" i="21"/>
  <c r="G15" i="21"/>
  <c r="F15" i="21"/>
  <c r="E15" i="21"/>
  <c r="G14" i="21"/>
  <c r="C9" i="21"/>
  <c r="C14" i="20"/>
  <c r="C13" i="20"/>
  <c r="C12" i="20"/>
  <c r="C16" i="25" s="1"/>
  <c r="C11" i="20"/>
  <c r="C10" i="20"/>
  <c r="C9" i="20"/>
  <c r="C8" i="20"/>
  <c r="I41" i="19"/>
  <c r="I40" i="19"/>
  <c r="I39" i="19"/>
  <c r="I38" i="19"/>
  <c r="I25" i="19"/>
  <c r="I24" i="19"/>
  <c r="I23" i="19"/>
  <c r="D7" i="19" s="1"/>
  <c r="C16" i="14" s="1"/>
  <c r="N18" i="14" s="1"/>
  <c r="I22" i="19"/>
  <c r="F13" i="19"/>
  <c r="D28" i="19" s="1"/>
  <c r="F12" i="19"/>
  <c r="I57" i="18"/>
  <c r="G57" i="18"/>
  <c r="I56" i="18"/>
  <c r="G56" i="18"/>
  <c r="I55" i="18"/>
  <c r="G55" i="18"/>
  <c r="I54" i="18"/>
  <c r="G54" i="18"/>
  <c r="I53" i="18"/>
  <c r="G53" i="18"/>
  <c r="I52" i="18"/>
  <c r="G52" i="18"/>
  <c r="I51" i="18"/>
  <c r="G51" i="18"/>
  <c r="I50" i="18"/>
  <c r="G50" i="18"/>
  <c r="I49" i="18"/>
  <c r="G49" i="18"/>
  <c r="I48" i="18"/>
  <c r="G48" i="18"/>
  <c r="I46" i="18"/>
  <c r="G46" i="18"/>
  <c r="I45" i="18"/>
  <c r="G45" i="18"/>
  <c r="I44" i="18"/>
  <c r="G44" i="18"/>
  <c r="I43" i="18"/>
  <c r="G43" i="18"/>
  <c r="I42" i="18"/>
  <c r="G42" i="18"/>
  <c r="I41" i="18"/>
  <c r="G41" i="18"/>
  <c r="I40" i="18"/>
  <c r="G40" i="18"/>
  <c r="I39" i="18"/>
  <c r="G39" i="18"/>
  <c r="I38" i="18"/>
  <c r="G38" i="18"/>
  <c r="I37" i="18"/>
  <c r="G37" i="18"/>
  <c r="I36" i="18"/>
  <c r="G36" i="18"/>
  <c r="I35" i="18"/>
  <c r="G35" i="18"/>
  <c r="I34" i="18"/>
  <c r="G34" i="18"/>
  <c r="I33" i="18"/>
  <c r="G33" i="18"/>
  <c r="I32" i="18"/>
  <c r="G32" i="18"/>
  <c r="I31" i="18"/>
  <c r="G31" i="18"/>
  <c r="I30" i="18"/>
  <c r="G30" i="18"/>
  <c r="I29" i="18"/>
  <c r="G29" i="18"/>
  <c r="I28" i="18"/>
  <c r="G28" i="18"/>
  <c r="I27" i="18"/>
  <c r="G27" i="18"/>
  <c r="I26" i="18"/>
  <c r="G26" i="18"/>
  <c r="I25" i="18"/>
  <c r="G25" i="18"/>
  <c r="I24" i="18"/>
  <c r="G24" i="18"/>
  <c r="I23" i="18"/>
  <c r="G23" i="18"/>
  <c r="I22" i="18"/>
  <c r="G22" i="18"/>
  <c r="I21" i="18"/>
  <c r="G21" i="18"/>
  <c r="I20" i="18"/>
  <c r="G20" i="18"/>
  <c r="I19" i="18"/>
  <c r="G19" i="18"/>
  <c r="I18" i="18"/>
  <c r="G18" i="18"/>
  <c r="I17" i="18"/>
  <c r="G17" i="18"/>
  <c r="I16" i="18"/>
  <c r="G16" i="18"/>
  <c r="I15" i="18"/>
  <c r="G15" i="18"/>
  <c r="I14" i="18"/>
  <c r="G14" i="18"/>
  <c r="I13" i="18"/>
  <c r="G13" i="18"/>
  <c r="I12" i="18"/>
  <c r="I7" i="18" s="1"/>
  <c r="H7" i="18" s="1"/>
  <c r="G12" i="18"/>
  <c r="C19" i="17"/>
  <c r="C16" i="17"/>
  <c r="C15" i="17" s="1"/>
  <c r="I63" i="16"/>
  <c r="G63" i="16"/>
  <c r="E63" i="16"/>
  <c r="C63" i="16"/>
  <c r="I46" i="16"/>
  <c r="G46" i="16"/>
  <c r="E46" i="16"/>
  <c r="C46" i="16"/>
  <c r="E7" i="16" s="1"/>
  <c r="E34" i="16"/>
  <c r="C28" i="16"/>
  <c r="C24" i="16"/>
  <c r="C23" i="16"/>
  <c r="C22" i="16"/>
  <c r="C20" i="16"/>
  <c r="E17" i="16"/>
  <c r="C17" i="16"/>
  <c r="G7" i="16"/>
  <c r="G6" i="16"/>
  <c r="E6" i="16"/>
  <c r="C6" i="16" s="1"/>
  <c r="C8" i="16" s="1"/>
  <c r="C40" i="15"/>
  <c r="C36" i="15"/>
  <c r="C35" i="15"/>
  <c r="C34" i="15"/>
  <c r="C32" i="15"/>
  <c r="C31" i="15"/>
  <c r="C24" i="15"/>
  <c r="C22" i="15"/>
  <c r="C20" i="15"/>
  <c r="J10" i="15"/>
  <c r="I10" i="15"/>
  <c r="H10" i="15"/>
  <c r="U18" i="14"/>
  <c r="T18" i="14"/>
  <c r="S18" i="14"/>
  <c r="R18" i="14"/>
  <c r="Q18" i="14"/>
  <c r="P18" i="14"/>
  <c r="T17" i="14"/>
  <c r="S17" i="14"/>
  <c r="R17" i="14"/>
  <c r="Q17" i="14"/>
  <c r="P17" i="14"/>
  <c r="S16" i="14"/>
  <c r="R16" i="14"/>
  <c r="Q16" i="14"/>
  <c r="P16" i="14"/>
  <c r="R15" i="14"/>
  <c r="Q15" i="14"/>
  <c r="P15" i="14"/>
  <c r="C15" i="14"/>
  <c r="M17" i="14" s="1"/>
  <c r="Q14" i="14"/>
  <c r="P14" i="14"/>
  <c r="P13" i="14"/>
  <c r="D13" i="14"/>
  <c r="N15" i="14" s="1"/>
  <c r="H359" i="13"/>
  <c r="G26" i="13" s="1"/>
  <c r="G359" i="13"/>
  <c r="G14" i="13" s="1"/>
  <c r="H358" i="13"/>
  <c r="G358" i="13"/>
  <c r="H357" i="13"/>
  <c r="G24" i="13" s="1"/>
  <c r="G357" i="13"/>
  <c r="G12" i="13" s="1"/>
  <c r="H356" i="13"/>
  <c r="G356" i="13"/>
  <c r="G11" i="13" s="1"/>
  <c r="H355" i="13"/>
  <c r="G22" i="13" s="1"/>
  <c r="G355" i="13"/>
  <c r="G10" i="13" s="1"/>
  <c r="H354" i="13"/>
  <c r="H353" i="13" s="1"/>
  <c r="G354" i="13"/>
  <c r="G345" i="13"/>
  <c r="F345" i="13"/>
  <c r="G344" i="13"/>
  <c r="F344" i="13"/>
  <c r="G343" i="13"/>
  <c r="F343" i="13"/>
  <c r="G342" i="13"/>
  <c r="F342" i="13"/>
  <c r="G341" i="13"/>
  <c r="F341" i="13"/>
  <c r="G340" i="13"/>
  <c r="F340" i="13"/>
  <c r="G339" i="13"/>
  <c r="F339" i="13"/>
  <c r="G332" i="13"/>
  <c r="F332" i="13"/>
  <c r="G331" i="13"/>
  <c r="F331" i="13"/>
  <c r="F320" i="13" s="1"/>
  <c r="F13" i="13" s="1"/>
  <c r="G330" i="13"/>
  <c r="F330" i="13"/>
  <c r="G329" i="13"/>
  <c r="F329" i="13"/>
  <c r="G328" i="13"/>
  <c r="F328" i="13"/>
  <c r="G327" i="13"/>
  <c r="F327" i="13"/>
  <c r="F318" i="13"/>
  <c r="F316" i="13"/>
  <c r="G310" i="13"/>
  <c r="F310" i="13"/>
  <c r="G309" i="13"/>
  <c r="F309" i="13"/>
  <c r="G307" i="13"/>
  <c r="F307" i="13"/>
  <c r="G306" i="13"/>
  <c r="F306" i="13"/>
  <c r="G304" i="13"/>
  <c r="F304" i="13"/>
  <c r="G303" i="13"/>
  <c r="G301" i="13" s="1"/>
  <c r="F303" i="13"/>
  <c r="G300" i="13"/>
  <c r="F300" i="13"/>
  <c r="G299" i="13"/>
  <c r="F299" i="13"/>
  <c r="G297" i="13"/>
  <c r="F297" i="13"/>
  <c r="G296" i="13"/>
  <c r="F296" i="13"/>
  <c r="G294" i="13"/>
  <c r="F294" i="13"/>
  <c r="G293" i="13"/>
  <c r="G291" i="13" s="1"/>
  <c r="F293" i="13"/>
  <c r="F291" i="13" s="1"/>
  <c r="F58" i="13" s="1"/>
  <c r="G290" i="13"/>
  <c r="F290" i="13"/>
  <c r="G289" i="13"/>
  <c r="F289" i="13"/>
  <c r="G287" i="13"/>
  <c r="F287" i="13"/>
  <c r="G286" i="13"/>
  <c r="F286" i="13"/>
  <c r="G284" i="13"/>
  <c r="F284" i="13"/>
  <c r="F281" i="13" s="1"/>
  <c r="E58" i="13" s="1"/>
  <c r="G283" i="13"/>
  <c r="G281" i="13" s="1"/>
  <c r="F283" i="13"/>
  <c r="G280" i="13"/>
  <c r="F280" i="13"/>
  <c r="G279" i="13"/>
  <c r="F279" i="13"/>
  <c r="G278" i="13"/>
  <c r="F278" i="13"/>
  <c r="F277" i="13" s="1"/>
  <c r="D58" i="13" s="1"/>
  <c r="G276" i="13"/>
  <c r="F276" i="13"/>
  <c r="G275" i="13"/>
  <c r="F275" i="13"/>
  <c r="F273" i="13" s="1"/>
  <c r="G274" i="13"/>
  <c r="F274" i="13"/>
  <c r="G268" i="13"/>
  <c r="F268" i="13"/>
  <c r="G267" i="13"/>
  <c r="F267" i="13"/>
  <c r="G265" i="13"/>
  <c r="F265" i="13"/>
  <c r="G264" i="13"/>
  <c r="F264" i="13"/>
  <c r="G262" i="13"/>
  <c r="G259" i="13" s="1"/>
  <c r="F262" i="13"/>
  <c r="G261" i="13"/>
  <c r="F261" i="13"/>
  <c r="G258" i="13"/>
  <c r="F258" i="13"/>
  <c r="G257" i="13"/>
  <c r="F257" i="13"/>
  <c r="G255" i="13"/>
  <c r="F255" i="13"/>
  <c r="G254" i="13"/>
  <c r="F254" i="13"/>
  <c r="G252" i="13"/>
  <c r="F252" i="13"/>
  <c r="F249" i="13" s="1"/>
  <c r="G251" i="13"/>
  <c r="F251" i="13"/>
  <c r="G248" i="13"/>
  <c r="F248" i="13"/>
  <c r="G247" i="13"/>
  <c r="F247" i="13"/>
  <c r="G245" i="13"/>
  <c r="F245" i="13"/>
  <c r="G244" i="13"/>
  <c r="F244" i="13"/>
  <c r="G242" i="13"/>
  <c r="F242" i="13"/>
  <c r="G241" i="13"/>
  <c r="F241" i="13"/>
  <c r="G239" i="13"/>
  <c r="G238" i="13"/>
  <c r="F238" i="13"/>
  <c r="G237" i="13"/>
  <c r="F237" i="13"/>
  <c r="G236" i="13"/>
  <c r="G235" i="13" s="1"/>
  <c r="F236" i="13"/>
  <c r="G234" i="13"/>
  <c r="F234" i="13"/>
  <c r="G233" i="13"/>
  <c r="F233" i="13"/>
  <c r="G232" i="13"/>
  <c r="G231" i="13" s="1"/>
  <c r="F232" i="13"/>
  <c r="F231" i="13" s="1"/>
  <c r="G226" i="13"/>
  <c r="F226" i="13"/>
  <c r="G225" i="13"/>
  <c r="F225" i="13"/>
  <c r="G223" i="13"/>
  <c r="F223" i="13"/>
  <c r="G222" i="13"/>
  <c r="F222" i="13"/>
  <c r="G220" i="13"/>
  <c r="F220" i="13"/>
  <c r="F217" i="13" s="1"/>
  <c r="G56" i="13" s="1"/>
  <c r="G219" i="13"/>
  <c r="G217" i="13" s="1"/>
  <c r="F219" i="13"/>
  <c r="G216" i="13"/>
  <c r="F216" i="13"/>
  <c r="G215" i="13"/>
  <c r="F215" i="13"/>
  <c r="G213" i="13"/>
  <c r="F213" i="13"/>
  <c r="G212" i="13"/>
  <c r="F212" i="13"/>
  <c r="G210" i="13"/>
  <c r="F210" i="13"/>
  <c r="G209" i="13"/>
  <c r="F209" i="13"/>
  <c r="G206" i="13"/>
  <c r="F206" i="13"/>
  <c r="G205" i="13"/>
  <c r="F205" i="13"/>
  <c r="G203" i="13"/>
  <c r="F203" i="13"/>
  <c r="G202" i="13"/>
  <c r="F202" i="13"/>
  <c r="G200" i="13"/>
  <c r="F200" i="13"/>
  <c r="F197" i="13" s="1"/>
  <c r="E56" i="13" s="1"/>
  <c r="G199" i="13"/>
  <c r="G197" i="13" s="1"/>
  <c r="F199" i="13"/>
  <c r="G196" i="13"/>
  <c r="F196" i="13"/>
  <c r="G195" i="13"/>
  <c r="F195" i="13"/>
  <c r="G194" i="13"/>
  <c r="F194" i="13"/>
  <c r="F193" i="13" s="1"/>
  <c r="D56" i="13" s="1"/>
  <c r="G192" i="13"/>
  <c r="F192" i="13"/>
  <c r="G191" i="13"/>
  <c r="F191" i="13"/>
  <c r="F189" i="13" s="1"/>
  <c r="C56" i="13" s="1"/>
  <c r="G190" i="13"/>
  <c r="F190" i="13"/>
  <c r="G184" i="13"/>
  <c r="F184" i="13"/>
  <c r="G183" i="13"/>
  <c r="F183" i="13"/>
  <c r="G181" i="13"/>
  <c r="F181" i="13"/>
  <c r="G180" i="13"/>
  <c r="F180" i="13"/>
  <c r="G178" i="13"/>
  <c r="F178" i="13"/>
  <c r="G177" i="13"/>
  <c r="F177" i="13"/>
  <c r="G175" i="13"/>
  <c r="G174" i="13"/>
  <c r="F174" i="13"/>
  <c r="G173" i="13"/>
  <c r="F173" i="13"/>
  <c r="G171" i="13"/>
  <c r="F171" i="13"/>
  <c r="G170" i="13"/>
  <c r="F170" i="13"/>
  <c r="G168" i="13"/>
  <c r="F168" i="13"/>
  <c r="G167" i="13"/>
  <c r="F167" i="13"/>
  <c r="G164" i="13"/>
  <c r="F164" i="13"/>
  <c r="G163" i="13"/>
  <c r="F163" i="13"/>
  <c r="G161" i="13"/>
  <c r="F161" i="13"/>
  <c r="G160" i="13"/>
  <c r="F160" i="13"/>
  <c r="G158" i="13"/>
  <c r="G155" i="13" s="1"/>
  <c r="F158" i="13"/>
  <c r="G157" i="13"/>
  <c r="F157" i="13"/>
  <c r="F155" i="13" s="1"/>
  <c r="G154" i="13"/>
  <c r="F154" i="13"/>
  <c r="G153" i="13"/>
  <c r="F153" i="13"/>
  <c r="G152" i="13"/>
  <c r="G151" i="13" s="1"/>
  <c r="F152" i="13"/>
  <c r="G150" i="13"/>
  <c r="F150" i="13"/>
  <c r="G149" i="13"/>
  <c r="F149" i="13"/>
  <c r="G148" i="13"/>
  <c r="G147" i="13" s="1"/>
  <c r="F148" i="13"/>
  <c r="F147" i="13" s="1"/>
  <c r="C55" i="13" s="1"/>
  <c r="G142" i="13"/>
  <c r="F142" i="13"/>
  <c r="G141" i="13"/>
  <c r="F141" i="13"/>
  <c r="G139" i="13"/>
  <c r="F139" i="13"/>
  <c r="G138" i="13"/>
  <c r="F138" i="13"/>
  <c r="G136" i="13"/>
  <c r="F136" i="13"/>
  <c r="F133" i="13" s="1"/>
  <c r="G54" i="13" s="1"/>
  <c r="G135" i="13"/>
  <c r="G133" i="13" s="1"/>
  <c r="F135" i="13"/>
  <c r="G132" i="13"/>
  <c r="F132" i="13"/>
  <c r="G131" i="13"/>
  <c r="F131" i="13"/>
  <c r="G129" i="13"/>
  <c r="F129" i="13"/>
  <c r="G128" i="13"/>
  <c r="F128" i="13"/>
  <c r="G126" i="13"/>
  <c r="F126" i="13"/>
  <c r="G125" i="13"/>
  <c r="G123" i="13" s="1"/>
  <c r="F125" i="13"/>
  <c r="G122" i="13"/>
  <c r="F122" i="13"/>
  <c r="G121" i="13"/>
  <c r="F121" i="13"/>
  <c r="G119" i="13"/>
  <c r="F119" i="13"/>
  <c r="G118" i="13"/>
  <c r="F118" i="13"/>
  <c r="G116" i="13"/>
  <c r="F116" i="13"/>
  <c r="F113" i="13" s="1"/>
  <c r="E54" i="13" s="1"/>
  <c r="G115" i="13"/>
  <c r="F115" i="13"/>
  <c r="G112" i="13"/>
  <c r="F112" i="13"/>
  <c r="G111" i="13"/>
  <c r="F111" i="13"/>
  <c r="G110" i="13"/>
  <c r="G109" i="13" s="1"/>
  <c r="F110" i="13"/>
  <c r="F109" i="13"/>
  <c r="D54" i="13" s="1"/>
  <c r="G108" i="13"/>
  <c r="F108" i="13"/>
  <c r="G107" i="13"/>
  <c r="F107" i="13"/>
  <c r="G106" i="13"/>
  <c r="F106" i="13"/>
  <c r="G100" i="13"/>
  <c r="F100" i="13"/>
  <c r="G99" i="13"/>
  <c r="F99" i="13"/>
  <c r="G97" i="13"/>
  <c r="F97" i="13"/>
  <c r="G96" i="13"/>
  <c r="F96" i="13"/>
  <c r="G94" i="13"/>
  <c r="G91" i="13" s="1"/>
  <c r="F94" i="13"/>
  <c r="G93" i="13"/>
  <c r="F93" i="13"/>
  <c r="F91" i="13" s="1"/>
  <c r="G90" i="13"/>
  <c r="F90" i="13"/>
  <c r="G89" i="13"/>
  <c r="F89" i="13"/>
  <c r="G87" i="13"/>
  <c r="F87" i="13"/>
  <c r="G86" i="13"/>
  <c r="F86" i="13"/>
  <c r="G84" i="13"/>
  <c r="F84" i="13"/>
  <c r="G83" i="13"/>
  <c r="F83" i="13"/>
  <c r="G80" i="13"/>
  <c r="F80" i="13"/>
  <c r="G79" i="13"/>
  <c r="F79" i="13"/>
  <c r="G77" i="13"/>
  <c r="F77" i="13"/>
  <c r="G76" i="13"/>
  <c r="F76" i="13"/>
  <c r="G74" i="13"/>
  <c r="F74" i="13"/>
  <c r="G73" i="13"/>
  <c r="F73" i="13"/>
  <c r="F71" i="13" s="1"/>
  <c r="E53" i="13" s="1"/>
  <c r="G71" i="13"/>
  <c r="G70" i="13"/>
  <c r="F70" i="13"/>
  <c r="G69" i="13"/>
  <c r="F69" i="13"/>
  <c r="G68" i="13"/>
  <c r="F68" i="13"/>
  <c r="G67" i="13"/>
  <c r="G66" i="13"/>
  <c r="F66" i="13"/>
  <c r="G65" i="13"/>
  <c r="F65" i="13"/>
  <c r="G64" i="13"/>
  <c r="G63" i="13" s="1"/>
  <c r="F64" i="13"/>
  <c r="C58" i="13"/>
  <c r="F57" i="13"/>
  <c r="C57" i="13"/>
  <c r="E55" i="13"/>
  <c r="G53" i="13"/>
  <c r="G48" i="13"/>
  <c r="F48" i="13"/>
  <c r="D14" i="13" s="1"/>
  <c r="G47" i="13"/>
  <c r="F47" i="13"/>
  <c r="G46" i="13"/>
  <c r="D24" i="13" s="1"/>
  <c r="F46" i="13"/>
  <c r="D12" i="13" s="1"/>
  <c r="G45" i="13"/>
  <c r="F45" i="13"/>
  <c r="D11" i="13" s="1"/>
  <c r="G44" i="13"/>
  <c r="F44" i="13"/>
  <c r="D10" i="13" s="1"/>
  <c r="G43" i="13"/>
  <c r="F43" i="13"/>
  <c r="D9" i="13" s="1"/>
  <c r="G42" i="13"/>
  <c r="F42" i="13"/>
  <c r="D8" i="13" s="1"/>
  <c r="F23" i="26" s="1"/>
  <c r="G37" i="13"/>
  <c r="F37" i="13"/>
  <c r="C14" i="13" s="1"/>
  <c r="G36" i="13"/>
  <c r="C25" i="13" s="1"/>
  <c r="F36" i="13"/>
  <c r="C13" i="13" s="1"/>
  <c r="G35" i="13"/>
  <c r="F35" i="13"/>
  <c r="G34" i="13"/>
  <c r="F34" i="13"/>
  <c r="C11" i="13" s="1"/>
  <c r="G33" i="13"/>
  <c r="F33" i="13"/>
  <c r="C10" i="13" s="1"/>
  <c r="G32" i="13"/>
  <c r="F32" i="13"/>
  <c r="C9" i="13" s="1"/>
  <c r="D26" i="13"/>
  <c r="C26" i="13"/>
  <c r="G25" i="13"/>
  <c r="D25" i="13"/>
  <c r="C24" i="13"/>
  <c r="G23" i="13"/>
  <c r="D23" i="13"/>
  <c r="C23" i="13"/>
  <c r="D22" i="13"/>
  <c r="C22" i="13"/>
  <c r="G21" i="13"/>
  <c r="D21" i="13"/>
  <c r="D20" i="13"/>
  <c r="G18" i="13"/>
  <c r="F18" i="13"/>
  <c r="E18" i="13"/>
  <c r="D18" i="13"/>
  <c r="C18" i="13"/>
  <c r="W13" i="13"/>
  <c r="V13" i="13"/>
  <c r="U13" i="13"/>
  <c r="T13" i="13"/>
  <c r="G13" i="13"/>
  <c r="D13" i="13"/>
  <c r="V12" i="13"/>
  <c r="U12" i="13"/>
  <c r="T12" i="13"/>
  <c r="C12" i="13"/>
  <c r="U11" i="13"/>
  <c r="T11" i="13"/>
  <c r="T10" i="13"/>
  <c r="F9" i="13"/>
  <c r="G6" i="13"/>
  <c r="F6" i="13"/>
  <c r="E6" i="13"/>
  <c r="D6" i="13"/>
  <c r="C6" i="13"/>
  <c r="D79" i="12"/>
  <c r="C79" i="12"/>
  <c r="D76" i="12"/>
  <c r="D13" i="12" s="1"/>
  <c r="E13" i="12" s="1"/>
  <c r="C76" i="12"/>
  <c r="C13" i="12" s="1"/>
  <c r="D72" i="12"/>
  <c r="D12" i="12" s="1"/>
  <c r="E12" i="12" s="1"/>
  <c r="C72" i="12"/>
  <c r="D65" i="12"/>
  <c r="C65" i="12"/>
  <c r="D58" i="12"/>
  <c r="D10" i="12" s="1"/>
  <c r="E10" i="12" s="1"/>
  <c r="C58" i="12"/>
  <c r="D54" i="12"/>
  <c r="D9" i="12" s="1"/>
  <c r="E9" i="12" s="1"/>
  <c r="C54" i="12"/>
  <c r="D14" i="12"/>
  <c r="E14" i="12" s="1"/>
  <c r="C14" i="12"/>
  <c r="C12" i="12"/>
  <c r="C11" i="12"/>
  <c r="C10" i="12"/>
  <c r="C9" i="12"/>
  <c r="D8" i="12"/>
  <c r="E8" i="12" s="1"/>
  <c r="C8" i="12"/>
  <c r="N304" i="11"/>
  <c r="M304" i="11"/>
  <c r="L304" i="11"/>
  <c r="D304" i="11"/>
  <c r="C304" i="11" s="1"/>
  <c r="F14" i="11" s="1"/>
  <c r="N303" i="11"/>
  <c r="M303" i="11"/>
  <c r="L303" i="11"/>
  <c r="D303" i="11"/>
  <c r="C303" i="11"/>
  <c r="N302" i="11"/>
  <c r="M302" i="11"/>
  <c r="L302" i="11"/>
  <c r="D302" i="11"/>
  <c r="C302" i="11" s="1"/>
  <c r="H14" i="11" s="1"/>
  <c r="N301" i="11"/>
  <c r="M301" i="11"/>
  <c r="L301" i="11"/>
  <c r="D301" i="11"/>
  <c r="C301" i="11" s="1"/>
  <c r="N300" i="11"/>
  <c r="M300" i="11"/>
  <c r="L300" i="11"/>
  <c r="D300" i="11"/>
  <c r="C300" i="11" s="1"/>
  <c r="N299" i="11"/>
  <c r="M299" i="11"/>
  <c r="L299" i="11"/>
  <c r="D299" i="11"/>
  <c r="C299" i="11"/>
  <c r="N298" i="11"/>
  <c r="M298" i="11"/>
  <c r="L298" i="11"/>
  <c r="D298" i="11"/>
  <c r="C298" i="11" s="1"/>
  <c r="N297" i="11"/>
  <c r="M297" i="11"/>
  <c r="L297" i="11"/>
  <c r="D297" i="11"/>
  <c r="C297" i="11" s="1"/>
  <c r="N296" i="11"/>
  <c r="M296" i="11"/>
  <c r="L296" i="11"/>
  <c r="D296" i="11"/>
  <c r="C296" i="11" s="1"/>
  <c r="N295" i="11"/>
  <c r="M295" i="11"/>
  <c r="L295" i="11"/>
  <c r="D295" i="11"/>
  <c r="C295" i="11"/>
  <c r="N294" i="11"/>
  <c r="M294" i="11"/>
  <c r="L294" i="11"/>
  <c r="D294" i="11"/>
  <c r="C294" i="11" s="1"/>
  <c r="N293" i="11"/>
  <c r="M293" i="11"/>
  <c r="L293" i="11"/>
  <c r="D293" i="11"/>
  <c r="C293" i="11" s="1"/>
  <c r="N292" i="11"/>
  <c r="M292" i="11"/>
  <c r="L292" i="11"/>
  <c r="D292" i="11"/>
  <c r="C292" i="11" s="1"/>
  <c r="N291" i="11"/>
  <c r="M291" i="11"/>
  <c r="L291" i="11"/>
  <c r="D291" i="11"/>
  <c r="C291" i="11"/>
  <c r="N290" i="11"/>
  <c r="M290" i="11"/>
  <c r="L290" i="11"/>
  <c r="D290" i="11"/>
  <c r="C290" i="11" s="1"/>
  <c r="N289" i="11"/>
  <c r="M289" i="11"/>
  <c r="L289" i="11"/>
  <c r="D289" i="11"/>
  <c r="C289" i="11" s="1"/>
  <c r="N288" i="11"/>
  <c r="M288" i="11"/>
  <c r="L288" i="11"/>
  <c r="D288" i="11"/>
  <c r="C288" i="11"/>
  <c r="N287" i="11"/>
  <c r="M287" i="11"/>
  <c r="L287" i="11"/>
  <c r="D287" i="11"/>
  <c r="C287" i="11" s="1"/>
  <c r="N286" i="11"/>
  <c r="M286" i="11"/>
  <c r="L286" i="11"/>
  <c r="D286" i="11"/>
  <c r="C286" i="11" s="1"/>
  <c r="N285" i="11"/>
  <c r="M285" i="11"/>
  <c r="L285" i="11"/>
  <c r="D285" i="11"/>
  <c r="C285" i="11" s="1"/>
  <c r="N284" i="11"/>
  <c r="M284" i="11"/>
  <c r="L284" i="11"/>
  <c r="D284" i="11"/>
  <c r="C284" i="11" s="1"/>
  <c r="N283" i="11"/>
  <c r="M283" i="11"/>
  <c r="L283" i="11"/>
  <c r="D283" i="11"/>
  <c r="C283" i="11"/>
  <c r="A280" i="11"/>
  <c r="N278" i="11"/>
  <c r="M278" i="11"/>
  <c r="L278" i="11"/>
  <c r="D278" i="11"/>
  <c r="C278" i="11" s="1"/>
  <c r="N277" i="11"/>
  <c r="M277" i="11"/>
  <c r="L277" i="11"/>
  <c r="D277" i="11"/>
  <c r="C277" i="11" s="1"/>
  <c r="N276" i="11"/>
  <c r="M276" i="11"/>
  <c r="L276" i="11"/>
  <c r="D276" i="11"/>
  <c r="C276" i="11"/>
  <c r="N275" i="11"/>
  <c r="M275" i="11"/>
  <c r="L275" i="11"/>
  <c r="D275" i="11"/>
  <c r="C275" i="11" s="1"/>
  <c r="N274" i="11"/>
  <c r="M274" i="11"/>
  <c r="L274" i="11"/>
  <c r="D274" i="11"/>
  <c r="C274" i="11" s="1"/>
  <c r="N273" i="11"/>
  <c r="M273" i="11"/>
  <c r="L273" i="11"/>
  <c r="D273" i="11"/>
  <c r="C273" i="11" s="1"/>
  <c r="N272" i="11"/>
  <c r="M272" i="11"/>
  <c r="L272" i="11"/>
  <c r="D272" i="11"/>
  <c r="C272" i="11" s="1"/>
  <c r="N271" i="11"/>
  <c r="M271" i="11"/>
  <c r="L271" i="11"/>
  <c r="D271" i="11"/>
  <c r="C271" i="11" s="1"/>
  <c r="N270" i="11"/>
  <c r="M270" i="11"/>
  <c r="L270" i="11"/>
  <c r="D270" i="11"/>
  <c r="C270" i="11" s="1"/>
  <c r="N269" i="11"/>
  <c r="M269" i="11"/>
  <c r="L269" i="11"/>
  <c r="D269" i="11"/>
  <c r="C269" i="11" s="1"/>
  <c r="N268" i="11"/>
  <c r="M268" i="11"/>
  <c r="L268" i="11"/>
  <c r="D268" i="11"/>
  <c r="C268" i="11"/>
  <c r="N267" i="11"/>
  <c r="M267" i="11"/>
  <c r="L267" i="11"/>
  <c r="D267" i="11"/>
  <c r="C267" i="11" s="1"/>
  <c r="N266" i="11"/>
  <c r="M266" i="11"/>
  <c r="L266" i="11"/>
  <c r="D266" i="11"/>
  <c r="C266" i="11" s="1"/>
  <c r="N265" i="11"/>
  <c r="M265" i="11"/>
  <c r="L265" i="11"/>
  <c r="D265" i="11"/>
  <c r="C265" i="11" s="1"/>
  <c r="N264" i="11"/>
  <c r="M264" i="11"/>
  <c r="L264" i="11"/>
  <c r="D264" i="11"/>
  <c r="C264" i="11" s="1"/>
  <c r="N263" i="11"/>
  <c r="M263" i="11"/>
  <c r="L263" i="11"/>
  <c r="D263" i="11"/>
  <c r="C263" i="11" s="1"/>
  <c r="N262" i="11"/>
  <c r="M262" i="11"/>
  <c r="L262" i="11"/>
  <c r="D262" i="11"/>
  <c r="C262" i="11" s="1"/>
  <c r="N261" i="11"/>
  <c r="M261" i="11"/>
  <c r="L261" i="11"/>
  <c r="D261" i="11"/>
  <c r="C261" i="11" s="1"/>
  <c r="N260" i="11"/>
  <c r="M260" i="11"/>
  <c r="L260" i="11"/>
  <c r="D260" i="11"/>
  <c r="C260" i="11"/>
  <c r="N259" i="11"/>
  <c r="M259" i="11"/>
  <c r="L259" i="11"/>
  <c r="D259" i="11"/>
  <c r="C259" i="11" s="1"/>
  <c r="N258" i="11"/>
  <c r="M258" i="11"/>
  <c r="L258" i="11"/>
  <c r="D258" i="11"/>
  <c r="C258" i="11" s="1"/>
  <c r="N257" i="11"/>
  <c r="M257" i="11"/>
  <c r="L257" i="11"/>
  <c r="D257" i="11"/>
  <c r="C257" i="11" s="1"/>
  <c r="A254" i="11"/>
  <c r="N252" i="11"/>
  <c r="M252" i="11"/>
  <c r="L252" i="11"/>
  <c r="D252" i="11"/>
  <c r="C252" i="11" s="1"/>
  <c r="N251" i="11"/>
  <c r="M251" i="11"/>
  <c r="L251" i="11"/>
  <c r="D251" i="11"/>
  <c r="C251" i="11" s="1"/>
  <c r="N250" i="11"/>
  <c r="M250" i="11"/>
  <c r="L250" i="11"/>
  <c r="D250" i="11"/>
  <c r="C250" i="11" s="1"/>
  <c r="N249" i="11"/>
  <c r="M249" i="11"/>
  <c r="L249" i="11"/>
  <c r="D249" i="11"/>
  <c r="C249" i="11"/>
  <c r="N248" i="11"/>
  <c r="M248" i="11"/>
  <c r="L248" i="11"/>
  <c r="D248" i="11"/>
  <c r="C248" i="11" s="1"/>
  <c r="N247" i="11"/>
  <c r="M247" i="11"/>
  <c r="L247" i="11"/>
  <c r="D247" i="11"/>
  <c r="C247" i="11" s="1"/>
  <c r="N246" i="11"/>
  <c r="M246" i="11"/>
  <c r="L246" i="11"/>
  <c r="D246" i="11"/>
  <c r="C246" i="11" s="1"/>
  <c r="N245" i="11"/>
  <c r="M245" i="11"/>
  <c r="L245" i="11"/>
  <c r="D245" i="11"/>
  <c r="C245" i="11" s="1"/>
  <c r="N244" i="11"/>
  <c r="M244" i="11"/>
  <c r="L244" i="11"/>
  <c r="D244" i="11"/>
  <c r="C244" i="11" s="1"/>
  <c r="N243" i="11"/>
  <c r="M243" i="11"/>
  <c r="L243" i="11"/>
  <c r="D243" i="11"/>
  <c r="C243" i="11" s="1"/>
  <c r="N242" i="11"/>
  <c r="M242" i="11"/>
  <c r="L242" i="11"/>
  <c r="D242" i="11"/>
  <c r="C242" i="11" s="1"/>
  <c r="N241" i="11"/>
  <c r="M241" i="11"/>
  <c r="L241" i="11"/>
  <c r="D241" i="11"/>
  <c r="C241" i="11"/>
  <c r="N240" i="11"/>
  <c r="M240" i="11"/>
  <c r="L240" i="11"/>
  <c r="D240" i="11"/>
  <c r="C240" i="11" s="1"/>
  <c r="N239" i="11"/>
  <c r="M239" i="11"/>
  <c r="L239" i="11"/>
  <c r="D239" i="11"/>
  <c r="C239" i="11" s="1"/>
  <c r="N238" i="11"/>
  <c r="M238" i="11"/>
  <c r="L238" i="11"/>
  <c r="D238" i="11"/>
  <c r="C238" i="11" s="1"/>
  <c r="N237" i="11"/>
  <c r="M237" i="11"/>
  <c r="L237" i="11"/>
  <c r="D237" i="11"/>
  <c r="C237" i="11" s="1"/>
  <c r="N236" i="11"/>
  <c r="M236" i="11"/>
  <c r="L236" i="11"/>
  <c r="D236" i="11"/>
  <c r="C236" i="11" s="1"/>
  <c r="N235" i="11"/>
  <c r="M235" i="11"/>
  <c r="L235" i="11"/>
  <c r="D235" i="11"/>
  <c r="C235" i="11" s="1"/>
  <c r="N234" i="11"/>
  <c r="M234" i="11"/>
  <c r="L234" i="11"/>
  <c r="D234" i="11"/>
  <c r="C234" i="11" s="1"/>
  <c r="N233" i="11"/>
  <c r="M233" i="11"/>
  <c r="L233" i="11"/>
  <c r="D233" i="11"/>
  <c r="C233" i="11"/>
  <c r="N232" i="11"/>
  <c r="M232" i="11"/>
  <c r="L232" i="11"/>
  <c r="D232" i="11"/>
  <c r="C232" i="11" s="1"/>
  <c r="N231" i="11"/>
  <c r="M231" i="11"/>
  <c r="L231" i="11"/>
  <c r="D231" i="11"/>
  <c r="C231" i="11" s="1"/>
  <c r="N230" i="11"/>
  <c r="M230" i="11"/>
  <c r="L230" i="11"/>
  <c r="D230" i="11"/>
  <c r="C230" i="11" s="1"/>
  <c r="N229" i="11"/>
  <c r="M229" i="11"/>
  <c r="L229" i="11"/>
  <c r="D229" i="11"/>
  <c r="C229" i="11" s="1"/>
  <c r="N228" i="11"/>
  <c r="M228" i="11"/>
  <c r="L228" i="11"/>
  <c r="D228" i="11"/>
  <c r="C228" i="11" s="1"/>
  <c r="N227" i="11"/>
  <c r="M227" i="11"/>
  <c r="L227" i="11"/>
  <c r="D227" i="11"/>
  <c r="C227" i="11" s="1"/>
  <c r="N226" i="11"/>
  <c r="M226" i="11"/>
  <c r="L226" i="11"/>
  <c r="D226" i="11"/>
  <c r="C226" i="11" s="1"/>
  <c r="A223" i="11"/>
  <c r="N221" i="11"/>
  <c r="M221" i="11"/>
  <c r="L221" i="11"/>
  <c r="D221" i="11"/>
  <c r="C221" i="11" s="1"/>
  <c r="N220" i="11"/>
  <c r="M220" i="11"/>
  <c r="L220" i="11"/>
  <c r="D220" i="11"/>
  <c r="C220" i="11" s="1"/>
  <c r="N219" i="11"/>
  <c r="M219" i="11"/>
  <c r="L219" i="11"/>
  <c r="D219" i="11"/>
  <c r="C219" i="11" s="1"/>
  <c r="N218" i="11"/>
  <c r="M218" i="11"/>
  <c r="L218" i="11"/>
  <c r="D218" i="11"/>
  <c r="C218" i="11" s="1"/>
  <c r="N217" i="11"/>
  <c r="M217" i="11"/>
  <c r="L217" i="11"/>
  <c r="D217" i="11"/>
  <c r="C217" i="11" s="1"/>
  <c r="N216" i="11"/>
  <c r="M216" i="11"/>
  <c r="L216" i="11"/>
  <c r="D216" i="11"/>
  <c r="C216" i="11" s="1"/>
  <c r="N215" i="11"/>
  <c r="M215" i="11"/>
  <c r="L215" i="11"/>
  <c r="D215" i="11"/>
  <c r="C215" i="11"/>
  <c r="N214" i="11"/>
  <c r="M214" i="11"/>
  <c r="L214" i="11"/>
  <c r="D214" i="11"/>
  <c r="C214" i="11" s="1"/>
  <c r="N213" i="11"/>
  <c r="M213" i="11"/>
  <c r="L213" i="11"/>
  <c r="D213" i="11"/>
  <c r="C213" i="11"/>
  <c r="N212" i="11"/>
  <c r="M212" i="11"/>
  <c r="L212" i="11"/>
  <c r="D212" i="11"/>
  <c r="C212" i="11" s="1"/>
  <c r="N211" i="11"/>
  <c r="M211" i="11"/>
  <c r="L211" i="11"/>
  <c r="D211" i="11"/>
  <c r="C211" i="11" s="1"/>
  <c r="N210" i="11"/>
  <c r="M210" i="11"/>
  <c r="L210" i="11"/>
  <c r="D210" i="11"/>
  <c r="C210" i="11"/>
  <c r="N209" i="11"/>
  <c r="M209" i="11"/>
  <c r="L209" i="11"/>
  <c r="D209" i="11"/>
  <c r="C209" i="11" s="1"/>
  <c r="N208" i="11"/>
  <c r="M208" i="11"/>
  <c r="L208" i="11"/>
  <c r="D208" i="11"/>
  <c r="C208" i="11" s="1"/>
  <c r="N207" i="11"/>
  <c r="M207" i="11"/>
  <c r="L207" i="11"/>
  <c r="D207" i="11"/>
  <c r="C207" i="11" s="1"/>
  <c r="A204" i="11"/>
  <c r="N202" i="11"/>
  <c r="M202" i="11"/>
  <c r="L202" i="11"/>
  <c r="D202" i="11"/>
  <c r="C202" i="11"/>
  <c r="N201" i="11"/>
  <c r="M201" i="11"/>
  <c r="L201" i="11"/>
  <c r="D201" i="11"/>
  <c r="C201" i="11" s="1"/>
  <c r="N200" i="11"/>
  <c r="M200" i="11"/>
  <c r="L200" i="11"/>
  <c r="D200" i="11"/>
  <c r="C200" i="11" s="1"/>
  <c r="N199" i="11"/>
  <c r="M199" i="11"/>
  <c r="L199" i="11"/>
  <c r="D199" i="11"/>
  <c r="C199" i="11" s="1"/>
  <c r="N198" i="11"/>
  <c r="M198" i="11"/>
  <c r="L198" i="11"/>
  <c r="D198" i="11"/>
  <c r="C198" i="11" s="1"/>
  <c r="N197" i="11"/>
  <c r="M197" i="11"/>
  <c r="L197" i="11"/>
  <c r="D197" i="11"/>
  <c r="C197" i="11" s="1"/>
  <c r="N196" i="11"/>
  <c r="M196" i="11"/>
  <c r="L196" i="11"/>
  <c r="D196" i="11"/>
  <c r="C196" i="11" s="1"/>
  <c r="N195" i="11"/>
  <c r="M195" i="11"/>
  <c r="L195" i="11"/>
  <c r="D195" i="11"/>
  <c r="C195" i="11"/>
  <c r="N194" i="11"/>
  <c r="M194" i="11"/>
  <c r="L194" i="11"/>
  <c r="D194" i="11"/>
  <c r="C194" i="11" s="1"/>
  <c r="N193" i="11"/>
  <c r="M193" i="11"/>
  <c r="L193" i="11"/>
  <c r="D193" i="11"/>
  <c r="C193" i="11" s="1"/>
  <c r="N192" i="11"/>
  <c r="M192" i="11"/>
  <c r="L192" i="11"/>
  <c r="D192" i="11"/>
  <c r="C192" i="11" s="1"/>
  <c r="N191" i="11"/>
  <c r="M191" i="11"/>
  <c r="L191" i="11"/>
  <c r="D191" i="11"/>
  <c r="C191" i="11" s="1"/>
  <c r="N190" i="11"/>
  <c r="M190" i="11"/>
  <c r="L190" i="11"/>
  <c r="D190" i="11"/>
  <c r="C190" i="11" s="1"/>
  <c r="A187" i="11"/>
  <c r="N185" i="11"/>
  <c r="M185" i="11"/>
  <c r="L185" i="11"/>
  <c r="D185" i="11"/>
  <c r="C185" i="11" s="1"/>
  <c r="N184" i="11"/>
  <c r="M184" i="11"/>
  <c r="L184" i="11"/>
  <c r="D184" i="11"/>
  <c r="C184" i="11" s="1"/>
  <c r="N183" i="11"/>
  <c r="M183" i="11"/>
  <c r="L183" i="11"/>
  <c r="D183" i="11"/>
  <c r="C183" i="11" s="1"/>
  <c r="N182" i="11"/>
  <c r="M182" i="11"/>
  <c r="L182" i="11"/>
  <c r="D182" i="11"/>
  <c r="C182" i="11" s="1"/>
  <c r="N181" i="11"/>
  <c r="M181" i="11"/>
  <c r="L181" i="11"/>
  <c r="D181" i="11"/>
  <c r="C181" i="11" s="1"/>
  <c r="N180" i="11"/>
  <c r="M180" i="11"/>
  <c r="L180" i="11"/>
  <c r="D180" i="11"/>
  <c r="C180" i="11"/>
  <c r="N179" i="11"/>
  <c r="M179" i="11"/>
  <c r="L179" i="11"/>
  <c r="D179" i="11"/>
  <c r="C179" i="11" s="1"/>
  <c r="N178" i="11"/>
  <c r="M178" i="11"/>
  <c r="L178" i="11"/>
  <c r="D178" i="11"/>
  <c r="C178" i="11" s="1"/>
  <c r="N177" i="11"/>
  <c r="M177" i="11"/>
  <c r="L177" i="11"/>
  <c r="D177" i="11"/>
  <c r="C177" i="11" s="1"/>
  <c r="N176" i="11"/>
  <c r="M176" i="11"/>
  <c r="L176" i="11"/>
  <c r="D176" i="11"/>
  <c r="C176" i="11" s="1"/>
  <c r="A173" i="11"/>
  <c r="N171" i="11"/>
  <c r="M171" i="11"/>
  <c r="L171" i="11"/>
  <c r="D171" i="11"/>
  <c r="C171" i="11" s="1"/>
  <c r="N170" i="11"/>
  <c r="M170" i="11"/>
  <c r="L170" i="11"/>
  <c r="D170" i="11"/>
  <c r="C170" i="11" s="1"/>
  <c r="N169" i="11"/>
  <c r="M169" i="11"/>
  <c r="L169" i="11"/>
  <c r="D169" i="11"/>
  <c r="C169" i="11" s="1"/>
  <c r="N168" i="11"/>
  <c r="M168" i="11"/>
  <c r="L168" i="11"/>
  <c r="D168" i="11"/>
  <c r="C168" i="11" s="1"/>
  <c r="N167" i="11"/>
  <c r="M167" i="11"/>
  <c r="L167" i="11"/>
  <c r="D167" i="11"/>
  <c r="C167" i="11" s="1"/>
  <c r="N166" i="11"/>
  <c r="M166" i="11"/>
  <c r="L166" i="11"/>
  <c r="D166" i="11"/>
  <c r="C166" i="11" s="1"/>
  <c r="N165" i="11"/>
  <c r="M165" i="11"/>
  <c r="L165" i="11"/>
  <c r="D165" i="11"/>
  <c r="C165" i="11"/>
  <c r="N164" i="11"/>
  <c r="M164" i="11"/>
  <c r="L164" i="11"/>
  <c r="D164" i="11"/>
  <c r="C164" i="11" s="1"/>
  <c r="N163" i="11"/>
  <c r="M163" i="11"/>
  <c r="L163" i="11"/>
  <c r="D163" i="11"/>
  <c r="C163" i="11" s="1"/>
  <c r="N162" i="11"/>
  <c r="M162" i="11"/>
  <c r="L162" i="11"/>
  <c r="D162" i="11"/>
  <c r="C162" i="11" s="1"/>
  <c r="N161" i="11"/>
  <c r="M161" i="11"/>
  <c r="L161" i="11"/>
  <c r="D161" i="11"/>
  <c r="C161" i="11" s="1"/>
  <c r="N160" i="11"/>
  <c r="M160" i="11"/>
  <c r="L160" i="11"/>
  <c r="D160" i="11"/>
  <c r="C160" i="11" s="1"/>
  <c r="N159" i="11"/>
  <c r="M159" i="11"/>
  <c r="L159" i="11"/>
  <c r="D159" i="11"/>
  <c r="C159" i="11" s="1"/>
  <c r="N158" i="11"/>
  <c r="M158" i="11"/>
  <c r="L158" i="11"/>
  <c r="D158" i="11"/>
  <c r="C158" i="11" s="1"/>
  <c r="N157" i="11"/>
  <c r="M157" i="11"/>
  <c r="L157" i="11"/>
  <c r="D157" i="11"/>
  <c r="C157" i="11"/>
  <c r="N156" i="11"/>
  <c r="M156" i="11"/>
  <c r="L156" i="11"/>
  <c r="D156" i="11"/>
  <c r="C156" i="11" s="1"/>
  <c r="N155" i="11"/>
  <c r="M155" i="11"/>
  <c r="L155" i="11"/>
  <c r="D155" i="11"/>
  <c r="C155" i="11" s="1"/>
  <c r="N154" i="11"/>
  <c r="M154" i="11"/>
  <c r="L154" i="11"/>
  <c r="D154" i="11"/>
  <c r="C154" i="11" s="1"/>
  <c r="N153" i="11"/>
  <c r="M153" i="11"/>
  <c r="L153" i="11"/>
  <c r="D153" i="11"/>
  <c r="C153" i="11" s="1"/>
  <c r="N152" i="11"/>
  <c r="M152" i="11"/>
  <c r="L152" i="11"/>
  <c r="D152" i="11"/>
  <c r="C152" i="11" s="1"/>
  <c r="N151" i="11"/>
  <c r="M151" i="11"/>
  <c r="L151" i="11"/>
  <c r="D151" i="11"/>
  <c r="C151" i="11" s="1"/>
  <c r="N150" i="11"/>
  <c r="M150" i="11"/>
  <c r="L150" i="11"/>
  <c r="D150" i="11"/>
  <c r="C150" i="11"/>
  <c r="N149" i="11"/>
  <c r="M149" i="11"/>
  <c r="L149" i="11"/>
  <c r="D149" i="11"/>
  <c r="C149" i="11" s="1"/>
  <c r="N148" i="11"/>
  <c r="M148" i="11"/>
  <c r="L148" i="11"/>
  <c r="D148" i="11"/>
  <c r="C148" i="11" s="1"/>
  <c r="N147" i="11"/>
  <c r="M147" i="11"/>
  <c r="L147" i="11"/>
  <c r="D147" i="11"/>
  <c r="C147" i="11" s="1"/>
  <c r="N146" i="11"/>
  <c r="M146" i="11"/>
  <c r="L146" i="11"/>
  <c r="D146" i="11"/>
  <c r="C146" i="11" s="1"/>
  <c r="N145" i="11"/>
  <c r="M145" i="11"/>
  <c r="L145" i="11"/>
  <c r="D145" i="11"/>
  <c r="C145" i="11" s="1"/>
  <c r="N144" i="11"/>
  <c r="M144" i="11"/>
  <c r="L144" i="11"/>
  <c r="D144" i="11"/>
  <c r="C144" i="11"/>
  <c r="N143" i="11"/>
  <c r="M143" i="11"/>
  <c r="L143" i="11"/>
  <c r="D143" i="11"/>
  <c r="C143" i="11" s="1"/>
  <c r="N142" i="11"/>
  <c r="M142" i="11"/>
  <c r="L142" i="11"/>
  <c r="D142" i="11"/>
  <c r="C142" i="11" s="1"/>
  <c r="N141" i="11"/>
  <c r="M141" i="11"/>
  <c r="L141" i="11"/>
  <c r="D141" i="11"/>
  <c r="C141" i="11" s="1"/>
  <c r="N140" i="11"/>
  <c r="M140" i="11"/>
  <c r="L140" i="11"/>
  <c r="D140" i="11"/>
  <c r="C140" i="11" s="1"/>
  <c r="N139" i="11"/>
  <c r="M139" i="11"/>
  <c r="L139" i="11"/>
  <c r="D139" i="11"/>
  <c r="C139" i="11" s="1"/>
  <c r="N138" i="11"/>
  <c r="M138" i="11"/>
  <c r="L138" i="11"/>
  <c r="D138" i="11"/>
  <c r="C138" i="11" s="1"/>
  <c r="N137" i="11"/>
  <c r="M137" i="11"/>
  <c r="L137" i="11"/>
  <c r="D137" i="11"/>
  <c r="C137" i="11"/>
  <c r="N136" i="11"/>
  <c r="M136" i="11"/>
  <c r="L136" i="11"/>
  <c r="D136" i="11"/>
  <c r="C136" i="11" s="1"/>
  <c r="N135" i="11"/>
  <c r="M135" i="11"/>
  <c r="L135" i="11"/>
  <c r="D135" i="11"/>
  <c r="C135" i="11" s="1"/>
  <c r="N134" i="11"/>
  <c r="M134" i="11"/>
  <c r="L134" i="11"/>
  <c r="D134" i="11"/>
  <c r="C134" i="11" s="1"/>
  <c r="N133" i="11"/>
  <c r="M133" i="11"/>
  <c r="L133" i="11"/>
  <c r="D133" i="11"/>
  <c r="C133" i="11" s="1"/>
  <c r="N132" i="11"/>
  <c r="M132" i="11"/>
  <c r="L132" i="11"/>
  <c r="D132" i="11"/>
  <c r="C132" i="11" s="1"/>
  <c r="N131" i="11"/>
  <c r="M131" i="11"/>
  <c r="L131" i="11"/>
  <c r="D131" i="11"/>
  <c r="C131" i="11" s="1"/>
  <c r="N130" i="11"/>
  <c r="M130" i="11"/>
  <c r="L130" i="11"/>
  <c r="D130" i="11"/>
  <c r="C130" i="11"/>
  <c r="N129" i="11"/>
  <c r="M129" i="11"/>
  <c r="L129" i="11"/>
  <c r="D129" i="11"/>
  <c r="C129" i="11" s="1"/>
  <c r="N128" i="11"/>
  <c r="M128" i="11"/>
  <c r="L128" i="11"/>
  <c r="D128" i="11"/>
  <c r="C128" i="11" s="1"/>
  <c r="N127" i="11"/>
  <c r="M127" i="11"/>
  <c r="L127" i="11"/>
  <c r="D127" i="11"/>
  <c r="C127" i="11" s="1"/>
  <c r="N126" i="11"/>
  <c r="M126" i="11"/>
  <c r="L126" i="11"/>
  <c r="D126" i="11"/>
  <c r="C126" i="11" s="1"/>
  <c r="N125" i="11"/>
  <c r="M125" i="11"/>
  <c r="L125" i="11"/>
  <c r="D125" i="11"/>
  <c r="C125" i="11"/>
  <c r="N124" i="11"/>
  <c r="M124" i="11"/>
  <c r="L124" i="11"/>
  <c r="D124" i="11"/>
  <c r="C124" i="11" s="1"/>
  <c r="A121" i="11"/>
  <c r="N119" i="11"/>
  <c r="M119" i="11"/>
  <c r="L119" i="11"/>
  <c r="D119" i="11"/>
  <c r="C119" i="11" s="1"/>
  <c r="N118" i="11"/>
  <c r="M118" i="11"/>
  <c r="L118" i="11"/>
  <c r="D118" i="11"/>
  <c r="C118" i="11" s="1"/>
  <c r="N117" i="11"/>
  <c r="M117" i="11"/>
  <c r="L117" i="11"/>
  <c r="D117" i="11"/>
  <c r="C117" i="11" s="1"/>
  <c r="N116" i="11"/>
  <c r="M116" i="11"/>
  <c r="L116" i="11"/>
  <c r="D116" i="11"/>
  <c r="C116" i="11" s="1"/>
  <c r="N115" i="11"/>
  <c r="M115" i="11"/>
  <c r="L115" i="11"/>
  <c r="D115" i="11"/>
  <c r="C115" i="11"/>
  <c r="N114" i="11"/>
  <c r="M114" i="11"/>
  <c r="L114" i="11"/>
  <c r="D114" i="11"/>
  <c r="C114" i="11" s="1"/>
  <c r="N113" i="11"/>
  <c r="M113" i="11"/>
  <c r="L113" i="11"/>
  <c r="D113" i="11"/>
  <c r="C113" i="11" s="1"/>
  <c r="D12" i="11" s="1"/>
  <c r="N112" i="11"/>
  <c r="M112" i="11"/>
  <c r="L112" i="11"/>
  <c r="D112" i="11"/>
  <c r="C112" i="11" s="1"/>
  <c r="N111" i="11"/>
  <c r="M111" i="11"/>
  <c r="L111" i="11"/>
  <c r="D111" i="11"/>
  <c r="C111" i="11"/>
  <c r="N110" i="11"/>
  <c r="M110" i="11"/>
  <c r="L110" i="11"/>
  <c r="D110" i="11"/>
  <c r="C110" i="11"/>
  <c r="A107" i="11"/>
  <c r="N105" i="11"/>
  <c r="M105" i="11"/>
  <c r="L105" i="11"/>
  <c r="D105" i="11"/>
  <c r="C105" i="11" s="1"/>
  <c r="N104" i="11"/>
  <c r="M104" i="11"/>
  <c r="L104" i="11"/>
  <c r="D104" i="11"/>
  <c r="C104" i="11"/>
  <c r="N103" i="11"/>
  <c r="M103" i="11"/>
  <c r="L103" i="11"/>
  <c r="D103" i="11"/>
  <c r="C103" i="11"/>
  <c r="N102" i="11"/>
  <c r="M102" i="11"/>
  <c r="L102" i="11"/>
  <c r="D102" i="11"/>
  <c r="C102" i="11"/>
  <c r="N101" i="11"/>
  <c r="M101" i="11"/>
  <c r="L101" i="11"/>
  <c r="D101" i="11"/>
  <c r="C101" i="11" s="1"/>
  <c r="N100" i="11"/>
  <c r="M100" i="11"/>
  <c r="L100" i="11"/>
  <c r="D100" i="11"/>
  <c r="C100" i="11" s="1"/>
  <c r="N99" i="11"/>
  <c r="M99" i="11"/>
  <c r="L99" i="11"/>
  <c r="D99" i="11"/>
  <c r="C99" i="11"/>
  <c r="N98" i="11"/>
  <c r="M98" i="11"/>
  <c r="L98" i="11"/>
  <c r="D98" i="11"/>
  <c r="C98" i="11" s="1"/>
  <c r="N97" i="11"/>
  <c r="M97" i="11"/>
  <c r="L97" i="11"/>
  <c r="D97" i="11"/>
  <c r="C97" i="11" s="1"/>
  <c r="I11" i="11" s="1"/>
  <c r="N96" i="11"/>
  <c r="M96" i="11"/>
  <c r="L96" i="11"/>
  <c r="D96" i="11"/>
  <c r="C96" i="11" s="1"/>
  <c r="N95" i="11"/>
  <c r="M95" i="11"/>
  <c r="L95" i="11"/>
  <c r="D95" i="11"/>
  <c r="C95" i="11"/>
  <c r="N94" i="11"/>
  <c r="M94" i="11"/>
  <c r="L94" i="11"/>
  <c r="D94" i="11"/>
  <c r="C94" i="11" s="1"/>
  <c r="E11" i="11" s="1"/>
  <c r="N93" i="11"/>
  <c r="M93" i="11"/>
  <c r="L93" i="11"/>
  <c r="D93" i="11"/>
  <c r="C93" i="11" s="1"/>
  <c r="N92" i="11"/>
  <c r="M92" i="11"/>
  <c r="L92" i="11"/>
  <c r="D92" i="11"/>
  <c r="C92" i="11"/>
  <c r="N91" i="11"/>
  <c r="M91" i="11"/>
  <c r="L91" i="11"/>
  <c r="D91" i="11"/>
  <c r="C91" i="11" s="1"/>
  <c r="N90" i="11"/>
  <c r="M90" i="11"/>
  <c r="L90" i="11"/>
  <c r="D90" i="11"/>
  <c r="C90" i="11" s="1"/>
  <c r="A87" i="11"/>
  <c r="N85" i="11"/>
  <c r="M85" i="11"/>
  <c r="L85" i="11"/>
  <c r="D85" i="11"/>
  <c r="C85" i="11" s="1"/>
  <c r="N84" i="11"/>
  <c r="M84" i="11"/>
  <c r="L84" i="11"/>
  <c r="D84" i="11"/>
  <c r="C84" i="11"/>
  <c r="N83" i="11"/>
  <c r="M83" i="11"/>
  <c r="L83" i="11"/>
  <c r="D83" i="11"/>
  <c r="C83" i="11" s="1"/>
  <c r="N82" i="11"/>
  <c r="M82" i="11"/>
  <c r="L82" i="11"/>
  <c r="D82" i="11"/>
  <c r="C82" i="11" s="1"/>
  <c r="N81" i="11"/>
  <c r="M81" i="11"/>
  <c r="L81" i="11"/>
  <c r="D81" i="11"/>
  <c r="C81" i="11" s="1"/>
  <c r="N80" i="11"/>
  <c r="M80" i="11"/>
  <c r="L80" i="11"/>
  <c r="D80" i="11"/>
  <c r="C80" i="11"/>
  <c r="N79" i="11"/>
  <c r="M79" i="11"/>
  <c r="L79" i="11"/>
  <c r="D79" i="11"/>
  <c r="C79" i="11" s="1"/>
  <c r="N78" i="11"/>
  <c r="M78" i="11"/>
  <c r="L78" i="11"/>
  <c r="D78" i="11"/>
  <c r="C78" i="11" s="1"/>
  <c r="N77" i="11"/>
  <c r="M77" i="11"/>
  <c r="L77" i="11"/>
  <c r="D77" i="11"/>
  <c r="C77" i="11"/>
  <c r="N76" i="11"/>
  <c r="M76" i="11"/>
  <c r="L76" i="11"/>
  <c r="D76" i="11"/>
  <c r="C76" i="11" s="1"/>
  <c r="N75" i="11"/>
  <c r="M75" i="11"/>
  <c r="L75" i="11"/>
  <c r="D75" i="11"/>
  <c r="C75" i="11" s="1"/>
  <c r="N74" i="11"/>
  <c r="M74" i="11"/>
  <c r="L74" i="11"/>
  <c r="D74" i="11"/>
  <c r="C74" i="11" s="1"/>
  <c r="N73" i="11"/>
  <c r="M73" i="11"/>
  <c r="L73" i="11"/>
  <c r="D73" i="11"/>
  <c r="C73" i="11"/>
  <c r="N72" i="11"/>
  <c r="M72" i="11"/>
  <c r="L72" i="11"/>
  <c r="D72" i="11"/>
  <c r="C72" i="11" s="1"/>
  <c r="N71" i="11"/>
  <c r="M71" i="11"/>
  <c r="L71" i="11"/>
  <c r="D71" i="11"/>
  <c r="C71" i="11"/>
  <c r="N70" i="11"/>
  <c r="M70" i="11"/>
  <c r="L70" i="11"/>
  <c r="D70" i="11"/>
  <c r="C70" i="11" s="1"/>
  <c r="N69" i="11"/>
  <c r="M69" i="11"/>
  <c r="L69" i="11"/>
  <c r="D69" i="11"/>
  <c r="C69" i="11" s="1"/>
  <c r="N68" i="11"/>
  <c r="M68" i="11"/>
  <c r="L68" i="11"/>
  <c r="D68" i="11"/>
  <c r="C68" i="11"/>
  <c r="N67" i="11"/>
  <c r="M67" i="11"/>
  <c r="L67" i="11"/>
  <c r="D67" i="11"/>
  <c r="C67" i="11" s="1"/>
  <c r="N66" i="11"/>
  <c r="M66" i="11"/>
  <c r="L66" i="11"/>
  <c r="D66" i="11"/>
  <c r="C66" i="11" s="1"/>
  <c r="N65" i="11"/>
  <c r="M65" i="11"/>
  <c r="L65" i="11"/>
  <c r="D65" i="11"/>
  <c r="C65" i="11" s="1"/>
  <c r="A62" i="11"/>
  <c r="N60" i="11"/>
  <c r="M60" i="11"/>
  <c r="L60" i="11"/>
  <c r="D60" i="11"/>
  <c r="C60" i="11" s="1"/>
  <c r="N59" i="11"/>
  <c r="M59" i="11"/>
  <c r="L59" i="11"/>
  <c r="D59" i="11"/>
  <c r="C59" i="11" s="1"/>
  <c r="N58" i="11"/>
  <c r="M58" i="11"/>
  <c r="L58" i="11"/>
  <c r="D58" i="11"/>
  <c r="C58" i="11"/>
  <c r="N57" i="11"/>
  <c r="M57" i="11"/>
  <c r="L57" i="11"/>
  <c r="D57" i="11"/>
  <c r="C57" i="11" s="1"/>
  <c r="N56" i="11"/>
  <c r="M56" i="11"/>
  <c r="L56" i="11"/>
  <c r="D56" i="11"/>
  <c r="C56" i="11" s="1"/>
  <c r="N55" i="11"/>
  <c r="M55" i="11"/>
  <c r="L55" i="11"/>
  <c r="D55" i="11"/>
  <c r="C55" i="11" s="1"/>
  <c r="H10" i="11" s="1"/>
  <c r="N54" i="11"/>
  <c r="M54" i="11"/>
  <c r="L54" i="11"/>
  <c r="D54" i="11"/>
  <c r="C54" i="11"/>
  <c r="N53" i="11"/>
  <c r="M53" i="11"/>
  <c r="L53" i="11"/>
  <c r="D53" i="11"/>
  <c r="C53" i="11" s="1"/>
  <c r="N52" i="11"/>
  <c r="M52" i="11"/>
  <c r="L52" i="11"/>
  <c r="D52" i="11"/>
  <c r="C52" i="11"/>
  <c r="N51" i="11"/>
  <c r="M51" i="11"/>
  <c r="L51" i="11"/>
  <c r="D51" i="11"/>
  <c r="C51" i="11" s="1"/>
  <c r="N50" i="11"/>
  <c r="M50" i="11"/>
  <c r="L50" i="11"/>
  <c r="D50" i="11"/>
  <c r="C50" i="11" s="1"/>
  <c r="N49" i="11"/>
  <c r="M49" i="11"/>
  <c r="L49" i="11"/>
  <c r="D49" i="11"/>
  <c r="C49" i="11"/>
  <c r="N48" i="11"/>
  <c r="M48" i="11"/>
  <c r="L48" i="11"/>
  <c r="D48" i="11"/>
  <c r="C48" i="11" s="1"/>
  <c r="N47" i="11"/>
  <c r="M47" i="11"/>
  <c r="L47" i="11"/>
  <c r="D47" i="11"/>
  <c r="C47" i="11" s="1"/>
  <c r="N46" i="11"/>
  <c r="M46" i="11"/>
  <c r="L46" i="11"/>
  <c r="D46" i="11"/>
  <c r="C46" i="11" s="1"/>
  <c r="N45" i="11"/>
  <c r="M45" i="11"/>
  <c r="L45" i="11"/>
  <c r="D45" i="11"/>
  <c r="C45" i="11"/>
  <c r="N44" i="11"/>
  <c r="M44" i="11"/>
  <c r="L44" i="11"/>
  <c r="D44" i="11"/>
  <c r="C44" i="11" s="1"/>
  <c r="N43" i="11"/>
  <c r="M43" i="11"/>
  <c r="L43" i="11"/>
  <c r="D43" i="11"/>
  <c r="C43" i="11" s="1"/>
  <c r="N42" i="11"/>
  <c r="M42" i="11"/>
  <c r="L42" i="11"/>
  <c r="D42" i="11"/>
  <c r="C42" i="11" s="1"/>
  <c r="N41" i="11"/>
  <c r="M41" i="11"/>
  <c r="L41" i="11"/>
  <c r="D41" i="11"/>
  <c r="C41" i="11"/>
  <c r="N40" i="11"/>
  <c r="M40" i="11"/>
  <c r="L40" i="11"/>
  <c r="D40" i="11"/>
  <c r="C40" i="11" s="1"/>
  <c r="A37" i="11"/>
  <c r="N35" i="11"/>
  <c r="M35" i="11"/>
  <c r="L35" i="11"/>
  <c r="D35" i="11"/>
  <c r="C35" i="11" s="1"/>
  <c r="N34" i="11"/>
  <c r="M34" i="11"/>
  <c r="L34" i="11"/>
  <c r="D34" i="11"/>
  <c r="C34" i="11" s="1"/>
  <c r="N33" i="11"/>
  <c r="M33" i="11"/>
  <c r="L33" i="11"/>
  <c r="D33" i="11"/>
  <c r="C33" i="11" s="1"/>
  <c r="N32" i="11"/>
  <c r="M32" i="11"/>
  <c r="L32" i="11"/>
  <c r="D32" i="11"/>
  <c r="C32" i="11" s="1"/>
  <c r="N31" i="11"/>
  <c r="M31" i="11"/>
  <c r="L31" i="11"/>
  <c r="D31" i="11"/>
  <c r="C31" i="11" s="1"/>
  <c r="N30" i="11"/>
  <c r="M30" i="11"/>
  <c r="L30" i="11"/>
  <c r="D30" i="11"/>
  <c r="C30" i="11"/>
  <c r="N29" i="11"/>
  <c r="M29" i="11"/>
  <c r="L29" i="11"/>
  <c r="D29" i="11"/>
  <c r="C29" i="11" s="1"/>
  <c r="N28" i="11"/>
  <c r="M28" i="11"/>
  <c r="L28" i="11"/>
  <c r="D28" i="11"/>
  <c r="C28" i="11" s="1"/>
  <c r="I9" i="11" s="1"/>
  <c r="N27" i="11"/>
  <c r="M27" i="11"/>
  <c r="L27" i="11"/>
  <c r="D27" i="11"/>
  <c r="C27" i="11" s="1"/>
  <c r="N26" i="11"/>
  <c r="M26" i="11"/>
  <c r="L26" i="11"/>
  <c r="D26" i="11"/>
  <c r="C26" i="11" s="1"/>
  <c r="N25" i="11"/>
  <c r="M25" i="11"/>
  <c r="L25" i="11"/>
  <c r="D25" i="11"/>
  <c r="C25" i="11" s="1"/>
  <c r="N24" i="11"/>
  <c r="M24" i="11"/>
  <c r="L24" i="11"/>
  <c r="D24" i="11"/>
  <c r="C24" i="11" s="1"/>
  <c r="N23" i="11"/>
  <c r="M23" i="11"/>
  <c r="L23" i="11"/>
  <c r="D23" i="11"/>
  <c r="C23" i="11" s="1"/>
  <c r="N22" i="11"/>
  <c r="M22" i="11"/>
  <c r="L22" i="11"/>
  <c r="D22" i="11"/>
  <c r="C22" i="11"/>
  <c r="N21" i="11"/>
  <c r="M21" i="11"/>
  <c r="L21" i="11"/>
  <c r="D21" i="11"/>
  <c r="C21" i="11" s="1"/>
  <c r="N20" i="11"/>
  <c r="M20" i="11"/>
  <c r="L20" i="11"/>
  <c r="D20" i="11"/>
  <c r="C20" i="11" s="1"/>
  <c r="AD14" i="11"/>
  <c r="AC14" i="11"/>
  <c r="AB14" i="11"/>
  <c r="AA14" i="11"/>
  <c r="Z14" i="11"/>
  <c r="J14" i="11"/>
  <c r="I14" i="11"/>
  <c r="E14" i="11"/>
  <c r="AC13" i="11"/>
  <c r="AB13" i="11"/>
  <c r="AA13" i="11"/>
  <c r="Z13" i="11"/>
  <c r="N13" i="11"/>
  <c r="M13" i="11"/>
  <c r="L13" i="11"/>
  <c r="K13" i="11"/>
  <c r="J13" i="11"/>
  <c r="F13" i="11"/>
  <c r="AM12" i="11"/>
  <c r="AL12" i="11"/>
  <c r="AK12" i="11"/>
  <c r="AB12" i="11"/>
  <c r="AA12" i="11"/>
  <c r="Z12" i="11"/>
  <c r="J12" i="11"/>
  <c r="I12" i="11"/>
  <c r="H12" i="11"/>
  <c r="F12" i="11"/>
  <c r="AL11" i="11"/>
  <c r="AK11" i="11"/>
  <c r="AA11" i="11"/>
  <c r="Z11" i="11"/>
  <c r="J11" i="11"/>
  <c r="H11" i="11"/>
  <c r="F11" i="11"/>
  <c r="AK10" i="11"/>
  <c r="Z10" i="11"/>
  <c r="K10" i="11"/>
  <c r="J10" i="11"/>
  <c r="J9" i="11"/>
  <c r="H9" i="11"/>
  <c r="F9" i="11"/>
  <c r="Q55" i="10"/>
  <c r="P55" i="10"/>
  <c r="O55" i="10"/>
  <c r="N55" i="10"/>
  <c r="P54" i="10"/>
  <c r="O54" i="10"/>
  <c r="N54" i="10"/>
  <c r="O53" i="10"/>
  <c r="N53" i="10"/>
  <c r="N52" i="10"/>
  <c r="C34" i="10"/>
  <c r="E34" i="10" s="1"/>
  <c r="C33" i="10"/>
  <c r="E33" i="10" s="1"/>
  <c r="C24" i="10"/>
  <c r="E1" i="10"/>
  <c r="Y120" i="9"/>
  <c r="V120" i="9"/>
  <c r="J120" i="9"/>
  <c r="AA119" i="9"/>
  <c r="AA118" i="9"/>
  <c r="AA117" i="9"/>
  <c r="AA116" i="9"/>
  <c r="AA115" i="9"/>
  <c r="AA114" i="9"/>
  <c r="AA113" i="9"/>
  <c r="AA112" i="9"/>
  <c r="AA111" i="9"/>
  <c r="AA110" i="9"/>
  <c r="AA109" i="9"/>
  <c r="AA108" i="9"/>
  <c r="AA107" i="9"/>
  <c r="AA106" i="9"/>
  <c r="AA105" i="9"/>
  <c r="AA104" i="9"/>
  <c r="AA103" i="9"/>
  <c r="AA102" i="9"/>
  <c r="AA101" i="9"/>
  <c r="AA100" i="9"/>
  <c r="AA99" i="9"/>
  <c r="AA98" i="9"/>
  <c r="AA97" i="9"/>
  <c r="AA96" i="9"/>
  <c r="AA95" i="9"/>
  <c r="AA94" i="9"/>
  <c r="AA93" i="9"/>
  <c r="AA92" i="9"/>
  <c r="AA91" i="9"/>
  <c r="AA90" i="9"/>
  <c r="AA89" i="9"/>
  <c r="AA88" i="9"/>
  <c r="AA87" i="9"/>
  <c r="AA86" i="9"/>
  <c r="AA85" i="9"/>
  <c r="AA84" i="9"/>
  <c r="AA83" i="9"/>
  <c r="AA82" i="9"/>
  <c r="AA81" i="9"/>
  <c r="AA80" i="9"/>
  <c r="AA79" i="9"/>
  <c r="AA78" i="9"/>
  <c r="AA77" i="9"/>
  <c r="AA76" i="9"/>
  <c r="AA75" i="9"/>
  <c r="AA74" i="9"/>
  <c r="AA73" i="9"/>
  <c r="AA72" i="9"/>
  <c r="AA71" i="9"/>
  <c r="AA70" i="9"/>
  <c r="AA69" i="9"/>
  <c r="AA68" i="9"/>
  <c r="AA67" i="9"/>
  <c r="AA66" i="9"/>
  <c r="AA65" i="9"/>
  <c r="AA64" i="9"/>
  <c r="AA63" i="9"/>
  <c r="AA62" i="9"/>
  <c r="AA61" i="9"/>
  <c r="AA60" i="9"/>
  <c r="AA59" i="9"/>
  <c r="AA58" i="9"/>
  <c r="AA57" i="9"/>
  <c r="AA56" i="9"/>
  <c r="AA55" i="9"/>
  <c r="AA54" i="9"/>
  <c r="AA53" i="9"/>
  <c r="AA52" i="9"/>
  <c r="AA51" i="9"/>
  <c r="AA50" i="9"/>
  <c r="AA49" i="9"/>
  <c r="AA48" i="9"/>
  <c r="AA47" i="9"/>
  <c r="AA46" i="9"/>
  <c r="AA45" i="9"/>
  <c r="AA44" i="9"/>
  <c r="AA43" i="9"/>
  <c r="AA42" i="9"/>
  <c r="AA41" i="9"/>
  <c r="AA40" i="9"/>
  <c r="AA39" i="9"/>
  <c r="AA38" i="9"/>
  <c r="AA37" i="9"/>
  <c r="AA36" i="9"/>
  <c r="AA35" i="9"/>
  <c r="AA34" i="9"/>
  <c r="AA33" i="9"/>
  <c r="AA32" i="9"/>
  <c r="AA31" i="9"/>
  <c r="AA30" i="9"/>
  <c r="AA29" i="9"/>
  <c r="AA28" i="9"/>
  <c r="AA27" i="9"/>
  <c r="AA26" i="9"/>
  <c r="AA25" i="9"/>
  <c r="AA24" i="9"/>
  <c r="AA23" i="9"/>
  <c r="AA22" i="9"/>
  <c r="AA21" i="9"/>
  <c r="AA20" i="9"/>
  <c r="F12" i="9"/>
  <c r="F11" i="9"/>
  <c r="D28" i="27" s="1"/>
  <c r="F28" i="27" s="1"/>
  <c r="F7" i="9"/>
  <c r="BG127" i="8"/>
  <c r="BF127" i="8"/>
  <c r="BE127" i="8"/>
  <c r="BD127" i="8"/>
  <c r="BC127" i="8"/>
  <c r="BB127" i="8"/>
  <c r="BA127" i="8"/>
  <c r="AZ127" i="8"/>
  <c r="AE127" i="8"/>
  <c r="AD127" i="8"/>
  <c r="CX126" i="8"/>
  <c r="CW126" i="8"/>
  <c r="CS126" i="8"/>
  <c r="CQ126" i="8"/>
  <c r="CP126" i="8"/>
  <c r="CO126" i="8"/>
  <c r="CL126" i="8"/>
  <c r="CM126" i="8" s="1"/>
  <c r="CJ126" i="8"/>
  <c r="CI126" i="8"/>
  <c r="CG126" i="8"/>
  <c r="CF126" i="8"/>
  <c r="CE126" i="8"/>
  <c r="CD126" i="8"/>
  <c r="CC126" i="8"/>
  <c r="CB126" i="8"/>
  <c r="CA126" i="8"/>
  <c r="BZ126" i="8"/>
  <c r="BY126" i="8"/>
  <c r="BX126" i="8"/>
  <c r="BW126" i="8"/>
  <c r="BV126" i="8"/>
  <c r="BU126" i="8"/>
  <c r="BT126" i="8"/>
  <c r="BS126" i="8"/>
  <c r="BR126" i="8"/>
  <c r="BQ126" i="8"/>
  <c r="BP126" i="8"/>
  <c r="BO126" i="8"/>
  <c r="BN126" i="8"/>
  <c r="BM126" i="8"/>
  <c r="BL126" i="8"/>
  <c r="BK126" i="8"/>
  <c r="BJ126" i="8"/>
  <c r="AS126" i="8"/>
  <c r="AR126" i="8"/>
  <c r="AP126" i="8"/>
  <c r="AO126" i="8"/>
  <c r="N126" i="8"/>
  <c r="CW125" i="8"/>
  <c r="CX125" i="8" s="1"/>
  <c r="CS125" i="8"/>
  <c r="CT125" i="8" s="1"/>
  <c r="CU125" i="8" s="1"/>
  <c r="CQ125" i="8"/>
  <c r="CP125" i="8"/>
  <c r="CO125" i="8"/>
  <c r="CM125" i="8"/>
  <c r="CL125" i="8"/>
  <c r="CJ125" i="8"/>
  <c r="CI125" i="8"/>
  <c r="CG125" i="8"/>
  <c r="CF125" i="8"/>
  <c r="CE125" i="8"/>
  <c r="CD125" i="8"/>
  <c r="CC125" i="8"/>
  <c r="CB125" i="8"/>
  <c r="CA125" i="8"/>
  <c r="BZ125" i="8"/>
  <c r="BY125" i="8"/>
  <c r="BX125" i="8"/>
  <c r="BW125" i="8"/>
  <c r="BV125" i="8"/>
  <c r="BU125" i="8"/>
  <c r="BT125" i="8"/>
  <c r="BS125" i="8"/>
  <c r="BR125" i="8"/>
  <c r="BQ125" i="8"/>
  <c r="BP125" i="8"/>
  <c r="BO125" i="8"/>
  <c r="BN125" i="8"/>
  <c r="BM125" i="8"/>
  <c r="BL125" i="8"/>
  <c r="BK125" i="8"/>
  <c r="BJ125" i="8"/>
  <c r="AS125" i="8"/>
  <c r="AR125" i="8"/>
  <c r="AP125" i="8"/>
  <c r="AO125" i="8"/>
  <c r="N125" i="8"/>
  <c r="CW124" i="8"/>
  <c r="CX124" i="8" s="1"/>
  <c r="CS124" i="8"/>
  <c r="CT124" i="8" s="1"/>
  <c r="CU124" i="8" s="1"/>
  <c r="CQ124" i="8"/>
  <c r="CP124" i="8"/>
  <c r="CO124" i="8"/>
  <c r="CL124" i="8"/>
  <c r="CM124" i="8" s="1"/>
  <c r="CJ124" i="8"/>
  <c r="CI124" i="8"/>
  <c r="CG124" i="8"/>
  <c r="CF124" i="8"/>
  <c r="CE124" i="8"/>
  <c r="CD124" i="8"/>
  <c r="CC124" i="8"/>
  <c r="CB124" i="8"/>
  <c r="CA124" i="8"/>
  <c r="BZ124" i="8"/>
  <c r="BY124" i="8"/>
  <c r="BX124" i="8"/>
  <c r="BW124" i="8"/>
  <c r="BV124" i="8"/>
  <c r="BU124" i="8"/>
  <c r="BT124" i="8"/>
  <c r="BS124" i="8"/>
  <c r="BR124" i="8"/>
  <c r="BQ124" i="8"/>
  <c r="BP124" i="8"/>
  <c r="BO124" i="8"/>
  <c r="BN124" i="8"/>
  <c r="BM124" i="8"/>
  <c r="BL124" i="8"/>
  <c r="BK124" i="8"/>
  <c r="BJ124" i="8"/>
  <c r="AS124" i="8"/>
  <c r="AR124" i="8"/>
  <c r="AP124" i="8"/>
  <c r="AO124" i="8"/>
  <c r="N124" i="8"/>
  <c r="CW123" i="8"/>
  <c r="CX123" i="8" s="1"/>
  <c r="CS123" i="8"/>
  <c r="CQ123" i="8"/>
  <c r="CP123" i="8"/>
  <c r="CO123" i="8"/>
  <c r="CL123" i="8"/>
  <c r="CM123" i="8" s="1"/>
  <c r="CJ123" i="8"/>
  <c r="CI123" i="8"/>
  <c r="CG123" i="8"/>
  <c r="CF123" i="8"/>
  <c r="CE123" i="8"/>
  <c r="CD123" i="8"/>
  <c r="CC123" i="8"/>
  <c r="CB123" i="8"/>
  <c r="CA123" i="8"/>
  <c r="BZ123" i="8"/>
  <c r="BY123" i="8"/>
  <c r="BX123" i="8"/>
  <c r="BW123" i="8"/>
  <c r="BV123" i="8"/>
  <c r="BU123" i="8"/>
  <c r="BT123" i="8"/>
  <c r="BS123" i="8"/>
  <c r="BR123" i="8"/>
  <c r="BQ123" i="8"/>
  <c r="BP123" i="8"/>
  <c r="BO123" i="8"/>
  <c r="BN123" i="8"/>
  <c r="BM123" i="8"/>
  <c r="BL123" i="8"/>
  <c r="BK123" i="8"/>
  <c r="BJ123" i="8"/>
  <c r="AS123" i="8"/>
  <c r="AR123" i="8"/>
  <c r="AP123" i="8"/>
  <c r="AO123" i="8"/>
  <c r="N123" i="8"/>
  <c r="CW122" i="8"/>
  <c r="CX122" i="8" s="1"/>
  <c r="CS122" i="8"/>
  <c r="CT122" i="8" s="1"/>
  <c r="CQ122" i="8"/>
  <c r="CP122" i="8"/>
  <c r="CO122" i="8"/>
  <c r="CM122" i="8"/>
  <c r="CL122" i="8"/>
  <c r="CJ122" i="8"/>
  <c r="CI122" i="8"/>
  <c r="CG122" i="8"/>
  <c r="CF122" i="8"/>
  <c r="CE122" i="8"/>
  <c r="CD122" i="8"/>
  <c r="CC122" i="8"/>
  <c r="CB122" i="8"/>
  <c r="CA122" i="8"/>
  <c r="BZ122" i="8"/>
  <c r="BY122" i="8"/>
  <c r="BX122" i="8"/>
  <c r="BW122" i="8"/>
  <c r="BV122" i="8"/>
  <c r="BU122" i="8"/>
  <c r="BT122" i="8"/>
  <c r="BS122" i="8"/>
  <c r="BR122" i="8"/>
  <c r="BQ122" i="8"/>
  <c r="BP122" i="8"/>
  <c r="BO122" i="8"/>
  <c r="BN122" i="8"/>
  <c r="BM122" i="8"/>
  <c r="BL122" i="8"/>
  <c r="BK122" i="8"/>
  <c r="BJ122" i="8"/>
  <c r="AS122" i="8"/>
  <c r="AR122" i="8"/>
  <c r="AP122" i="8"/>
  <c r="AO122" i="8"/>
  <c r="N122" i="8"/>
  <c r="CW121" i="8"/>
  <c r="CX121" i="8" s="1"/>
  <c r="CT121" i="8"/>
  <c r="CS121" i="8"/>
  <c r="CU121" i="8" s="1"/>
  <c r="CQ121" i="8"/>
  <c r="CP121" i="8"/>
  <c r="CO121" i="8"/>
  <c r="CL121" i="8"/>
  <c r="CM121" i="8" s="1"/>
  <c r="CJ121" i="8"/>
  <c r="CI121" i="8"/>
  <c r="CG121" i="8"/>
  <c r="CF121" i="8"/>
  <c r="CE121" i="8"/>
  <c r="CD121" i="8"/>
  <c r="CC121" i="8"/>
  <c r="CB121" i="8"/>
  <c r="CA121" i="8"/>
  <c r="BZ121" i="8"/>
  <c r="BY121" i="8"/>
  <c r="BX121" i="8"/>
  <c r="BW121" i="8"/>
  <c r="BV121" i="8"/>
  <c r="BU121" i="8"/>
  <c r="BT121" i="8"/>
  <c r="BS121" i="8"/>
  <c r="BR121" i="8"/>
  <c r="BQ121" i="8"/>
  <c r="BP121" i="8"/>
  <c r="BO121" i="8"/>
  <c r="BN121" i="8"/>
  <c r="BM121" i="8"/>
  <c r="BL121" i="8"/>
  <c r="BK121" i="8"/>
  <c r="BJ121" i="8"/>
  <c r="AS121" i="8"/>
  <c r="AR121" i="8"/>
  <c r="AP121" i="8"/>
  <c r="AO121" i="8"/>
  <c r="N121" i="8"/>
  <c r="CW120" i="8"/>
  <c r="CX120" i="8" s="1"/>
  <c r="CT120" i="8"/>
  <c r="CS120" i="8"/>
  <c r="CU120" i="8" s="1"/>
  <c r="CQ120" i="8"/>
  <c r="CP120" i="8"/>
  <c r="CO120" i="8"/>
  <c r="CL120" i="8"/>
  <c r="CM120" i="8" s="1"/>
  <c r="CJ120" i="8"/>
  <c r="CI120" i="8"/>
  <c r="CG120" i="8"/>
  <c r="CF120" i="8"/>
  <c r="CE120" i="8"/>
  <c r="CD120" i="8"/>
  <c r="CC120" i="8"/>
  <c r="CB120" i="8"/>
  <c r="CA120" i="8"/>
  <c r="BZ120" i="8"/>
  <c r="BY120" i="8"/>
  <c r="BX120" i="8"/>
  <c r="BW120" i="8"/>
  <c r="BV120" i="8"/>
  <c r="BU120" i="8"/>
  <c r="BT120" i="8"/>
  <c r="BS120" i="8"/>
  <c r="BR120" i="8"/>
  <c r="BQ120" i="8"/>
  <c r="BP120" i="8"/>
  <c r="BO120" i="8"/>
  <c r="BN120" i="8"/>
  <c r="BM120" i="8"/>
  <c r="BL120" i="8"/>
  <c r="BK120" i="8"/>
  <c r="BJ120" i="8"/>
  <c r="AS120" i="8"/>
  <c r="AR120" i="8"/>
  <c r="AP120" i="8"/>
  <c r="AO120" i="8"/>
  <c r="N120" i="8"/>
  <c r="CW119" i="8"/>
  <c r="CX119" i="8" s="1"/>
  <c r="CS119" i="8"/>
  <c r="CQ119" i="8"/>
  <c r="CP119" i="8"/>
  <c r="CO119" i="8"/>
  <c r="CL119" i="8"/>
  <c r="CM119" i="8" s="1"/>
  <c r="CJ119" i="8"/>
  <c r="CI119" i="8"/>
  <c r="CG119" i="8"/>
  <c r="CF119" i="8"/>
  <c r="CE119" i="8"/>
  <c r="CD119" i="8"/>
  <c r="CC119" i="8"/>
  <c r="CB119" i="8"/>
  <c r="CA119" i="8"/>
  <c r="BZ119" i="8"/>
  <c r="BY119" i="8"/>
  <c r="BX119" i="8"/>
  <c r="BW119" i="8"/>
  <c r="BV119" i="8"/>
  <c r="BU119" i="8"/>
  <c r="BT119" i="8"/>
  <c r="BS119" i="8"/>
  <c r="BR119" i="8"/>
  <c r="BQ119" i="8"/>
  <c r="BP119" i="8"/>
  <c r="BO119" i="8"/>
  <c r="BN119" i="8"/>
  <c r="BM119" i="8"/>
  <c r="BL119" i="8"/>
  <c r="BK119" i="8"/>
  <c r="BJ119" i="8"/>
  <c r="AS119" i="8"/>
  <c r="AR119" i="8"/>
  <c r="AP119" i="8"/>
  <c r="AO119" i="8"/>
  <c r="N119" i="8"/>
  <c r="CX118" i="8"/>
  <c r="CW118" i="8"/>
  <c r="CS118" i="8"/>
  <c r="CQ118" i="8"/>
  <c r="CP118" i="8"/>
  <c r="CO118" i="8"/>
  <c r="CM118" i="8"/>
  <c r="CL118" i="8"/>
  <c r="CJ118" i="8"/>
  <c r="CI118" i="8"/>
  <c r="CG118" i="8"/>
  <c r="CF118" i="8"/>
  <c r="CE118" i="8"/>
  <c r="CD118" i="8"/>
  <c r="CC118" i="8"/>
  <c r="CB118" i="8"/>
  <c r="CA118" i="8"/>
  <c r="BZ118" i="8"/>
  <c r="BY118" i="8"/>
  <c r="BX118" i="8"/>
  <c r="BW118" i="8"/>
  <c r="BV118" i="8"/>
  <c r="BU118" i="8"/>
  <c r="BT118" i="8"/>
  <c r="BS118" i="8"/>
  <c r="BR118" i="8"/>
  <c r="BQ118" i="8"/>
  <c r="BP118" i="8"/>
  <c r="BO118" i="8"/>
  <c r="BN118" i="8"/>
  <c r="BM118" i="8"/>
  <c r="BL118" i="8"/>
  <c r="BK118" i="8"/>
  <c r="BJ118" i="8"/>
  <c r="AS118" i="8"/>
  <c r="AR118" i="8"/>
  <c r="AP118" i="8"/>
  <c r="AO118" i="8"/>
  <c r="N118" i="8"/>
  <c r="CW117" i="8"/>
  <c r="CX117" i="8" s="1"/>
  <c r="CS117" i="8"/>
  <c r="CT117" i="8" s="1"/>
  <c r="CQ117" i="8"/>
  <c r="CP117" i="8"/>
  <c r="CO117" i="8"/>
  <c r="CL117" i="8"/>
  <c r="CM117" i="8" s="1"/>
  <c r="CJ117" i="8"/>
  <c r="CI117" i="8"/>
  <c r="CG117" i="8"/>
  <c r="CF117" i="8"/>
  <c r="CE117" i="8"/>
  <c r="CD117" i="8"/>
  <c r="CC117" i="8"/>
  <c r="CB117" i="8"/>
  <c r="CA117" i="8"/>
  <c r="BZ117" i="8"/>
  <c r="BY117" i="8"/>
  <c r="BX117" i="8"/>
  <c r="BW117" i="8"/>
  <c r="BV117" i="8"/>
  <c r="BU117" i="8"/>
  <c r="BT117" i="8"/>
  <c r="BS117" i="8"/>
  <c r="BR117" i="8"/>
  <c r="BQ117" i="8"/>
  <c r="BP117" i="8"/>
  <c r="BO117" i="8"/>
  <c r="BN117" i="8"/>
  <c r="BM117" i="8"/>
  <c r="BL117" i="8"/>
  <c r="BK117" i="8"/>
  <c r="BJ117" i="8"/>
  <c r="AS117" i="8"/>
  <c r="AR117" i="8"/>
  <c r="AP117" i="8"/>
  <c r="AO117" i="8"/>
  <c r="N117" i="8"/>
  <c r="CW116" i="8"/>
  <c r="CX116" i="8" s="1"/>
  <c r="CT116" i="8"/>
  <c r="CS116" i="8"/>
  <c r="CU116" i="8" s="1"/>
  <c r="CQ116" i="8"/>
  <c r="CP116" i="8"/>
  <c r="CO116" i="8"/>
  <c r="CL116" i="8"/>
  <c r="CM116" i="8" s="1"/>
  <c r="CJ116" i="8"/>
  <c r="CI116" i="8"/>
  <c r="CG116" i="8"/>
  <c r="CF116" i="8"/>
  <c r="CE116" i="8"/>
  <c r="CD116" i="8"/>
  <c r="CC116" i="8"/>
  <c r="CB116" i="8"/>
  <c r="CA116" i="8"/>
  <c r="BZ116" i="8"/>
  <c r="BY116" i="8"/>
  <c r="BX116" i="8"/>
  <c r="BW116" i="8"/>
  <c r="BV116" i="8"/>
  <c r="BU116" i="8"/>
  <c r="BT116" i="8"/>
  <c r="BS116" i="8"/>
  <c r="BR116" i="8"/>
  <c r="BQ116" i="8"/>
  <c r="BP116" i="8"/>
  <c r="BO116" i="8"/>
  <c r="BN116" i="8"/>
  <c r="BM116" i="8"/>
  <c r="BL116" i="8"/>
  <c r="BK116" i="8"/>
  <c r="BJ116" i="8"/>
  <c r="AS116" i="8"/>
  <c r="AR116" i="8"/>
  <c r="AP116" i="8"/>
  <c r="AO116" i="8"/>
  <c r="N116" i="8"/>
  <c r="CW115" i="8"/>
  <c r="CX115" i="8" s="1"/>
  <c r="CS115" i="8"/>
  <c r="CQ115" i="8"/>
  <c r="CP115" i="8"/>
  <c r="CO115" i="8"/>
  <c r="CL115" i="8"/>
  <c r="CM115" i="8" s="1"/>
  <c r="CJ115" i="8"/>
  <c r="CI115" i="8"/>
  <c r="CG115" i="8"/>
  <c r="CF115" i="8"/>
  <c r="CE115" i="8"/>
  <c r="CD115" i="8"/>
  <c r="CC115" i="8"/>
  <c r="CB115" i="8"/>
  <c r="CA115" i="8"/>
  <c r="BZ115" i="8"/>
  <c r="BY115" i="8"/>
  <c r="BX115" i="8"/>
  <c r="BW115" i="8"/>
  <c r="BV115" i="8"/>
  <c r="BU115" i="8"/>
  <c r="BT115" i="8"/>
  <c r="BS115" i="8"/>
  <c r="BR115" i="8"/>
  <c r="BQ115" i="8"/>
  <c r="BP115" i="8"/>
  <c r="BO115" i="8"/>
  <c r="BN115" i="8"/>
  <c r="BM115" i="8"/>
  <c r="BL115" i="8"/>
  <c r="BK115" i="8"/>
  <c r="BJ115" i="8"/>
  <c r="AS115" i="8"/>
  <c r="AR115" i="8"/>
  <c r="AP115" i="8"/>
  <c r="AO115" i="8"/>
  <c r="N115" i="8"/>
  <c r="CX114" i="8"/>
  <c r="CW114" i="8"/>
  <c r="CT114" i="8"/>
  <c r="CS114" i="8"/>
  <c r="CQ114" i="8"/>
  <c r="CP114" i="8"/>
  <c r="CO114" i="8"/>
  <c r="CL114" i="8"/>
  <c r="CM114" i="8" s="1"/>
  <c r="CJ114" i="8"/>
  <c r="CI114" i="8"/>
  <c r="CG114" i="8"/>
  <c r="CF114" i="8"/>
  <c r="CE114" i="8"/>
  <c r="CD114" i="8"/>
  <c r="CC114" i="8"/>
  <c r="CB114" i="8"/>
  <c r="CA114" i="8"/>
  <c r="BZ114" i="8"/>
  <c r="BY114" i="8"/>
  <c r="BX114" i="8"/>
  <c r="BW114" i="8"/>
  <c r="BV114" i="8"/>
  <c r="BU114" i="8"/>
  <c r="BT114" i="8"/>
  <c r="BS114" i="8"/>
  <c r="BR114" i="8"/>
  <c r="BQ114" i="8"/>
  <c r="BP114" i="8"/>
  <c r="BO114" i="8"/>
  <c r="BN114" i="8"/>
  <c r="BM114" i="8"/>
  <c r="BL114" i="8"/>
  <c r="BK114" i="8"/>
  <c r="BJ114" i="8"/>
  <c r="AS114" i="8"/>
  <c r="AR114" i="8"/>
  <c r="AP114" i="8"/>
  <c r="AO114" i="8"/>
  <c r="N114" i="8"/>
  <c r="CW113" i="8"/>
  <c r="CX113" i="8" s="1"/>
  <c r="CS113" i="8"/>
  <c r="CT113" i="8" s="1"/>
  <c r="CU113" i="8" s="1"/>
  <c r="CQ113" i="8"/>
  <c r="CP113" i="8"/>
  <c r="CO113" i="8"/>
  <c r="CL113" i="8"/>
  <c r="CM113" i="8" s="1"/>
  <c r="CJ113" i="8"/>
  <c r="CI113" i="8"/>
  <c r="CG113" i="8"/>
  <c r="CF113" i="8"/>
  <c r="CE113" i="8"/>
  <c r="CD113" i="8"/>
  <c r="CC113" i="8"/>
  <c r="CB113" i="8"/>
  <c r="CA113" i="8"/>
  <c r="BZ113" i="8"/>
  <c r="BY113" i="8"/>
  <c r="BX113" i="8"/>
  <c r="BW113" i="8"/>
  <c r="BV113" i="8"/>
  <c r="BU113" i="8"/>
  <c r="BT113" i="8"/>
  <c r="BS113" i="8"/>
  <c r="BR113" i="8"/>
  <c r="BQ113" i="8"/>
  <c r="BP113" i="8"/>
  <c r="BO113" i="8"/>
  <c r="BN113" i="8"/>
  <c r="BM113" i="8"/>
  <c r="BL113" i="8"/>
  <c r="BK113" i="8"/>
  <c r="BJ113" i="8"/>
  <c r="AS113" i="8"/>
  <c r="AR113" i="8"/>
  <c r="AP113" i="8"/>
  <c r="AO113" i="8"/>
  <c r="N113" i="8"/>
  <c r="CW112" i="8"/>
  <c r="CX112" i="8" s="1"/>
  <c r="CS112" i="8"/>
  <c r="CT112" i="8" s="1"/>
  <c r="CQ112" i="8"/>
  <c r="CP112" i="8"/>
  <c r="CO112" i="8"/>
  <c r="CL112" i="8"/>
  <c r="CM112" i="8" s="1"/>
  <c r="CJ112" i="8"/>
  <c r="CI112" i="8"/>
  <c r="CG112" i="8"/>
  <c r="CF112" i="8"/>
  <c r="CE112" i="8"/>
  <c r="CD112" i="8"/>
  <c r="CC112" i="8"/>
  <c r="CB112" i="8"/>
  <c r="CA112" i="8"/>
  <c r="BZ112" i="8"/>
  <c r="BY112" i="8"/>
  <c r="BX112" i="8"/>
  <c r="BW112" i="8"/>
  <c r="BV112" i="8"/>
  <c r="BU112" i="8"/>
  <c r="BT112" i="8"/>
  <c r="BS112" i="8"/>
  <c r="BR112" i="8"/>
  <c r="BQ112" i="8"/>
  <c r="BP112" i="8"/>
  <c r="BO112" i="8"/>
  <c r="BN112" i="8"/>
  <c r="BM112" i="8"/>
  <c r="BL112" i="8"/>
  <c r="BK112" i="8"/>
  <c r="BJ112" i="8"/>
  <c r="AS112" i="8"/>
  <c r="AR112" i="8"/>
  <c r="AP112" i="8"/>
  <c r="AO112" i="8"/>
  <c r="N112" i="8"/>
  <c r="CW111" i="8"/>
  <c r="CX111" i="8" s="1"/>
  <c r="CS111" i="8"/>
  <c r="CQ111" i="8"/>
  <c r="CP111" i="8"/>
  <c r="CO111" i="8"/>
  <c r="CL111" i="8"/>
  <c r="CM111" i="8" s="1"/>
  <c r="CJ111" i="8"/>
  <c r="CI111" i="8"/>
  <c r="CG111" i="8"/>
  <c r="CF111" i="8"/>
  <c r="CE111" i="8"/>
  <c r="CD111" i="8"/>
  <c r="CC111" i="8"/>
  <c r="CB111" i="8"/>
  <c r="CA111" i="8"/>
  <c r="BZ111" i="8"/>
  <c r="BY111" i="8"/>
  <c r="BX111" i="8"/>
  <c r="BW111" i="8"/>
  <c r="BV111" i="8"/>
  <c r="BU111" i="8"/>
  <c r="BT111" i="8"/>
  <c r="BS111" i="8"/>
  <c r="BR111" i="8"/>
  <c r="BQ111" i="8"/>
  <c r="BP111" i="8"/>
  <c r="BO111" i="8"/>
  <c r="BN111" i="8"/>
  <c r="BM111" i="8"/>
  <c r="BL111" i="8"/>
  <c r="BK111" i="8"/>
  <c r="BJ111" i="8"/>
  <c r="AS111" i="8"/>
  <c r="AR111" i="8"/>
  <c r="AP111" i="8"/>
  <c r="AO111" i="8"/>
  <c r="N111" i="8"/>
  <c r="CW110" i="8"/>
  <c r="CX110" i="8" s="1"/>
  <c r="CS110" i="8"/>
  <c r="CT110" i="8" s="1"/>
  <c r="CQ110" i="8"/>
  <c r="CP110" i="8"/>
  <c r="CO110" i="8"/>
  <c r="CM110" i="8"/>
  <c r="CL110" i="8"/>
  <c r="CJ110" i="8"/>
  <c r="CI110" i="8"/>
  <c r="CG110" i="8"/>
  <c r="CF110" i="8"/>
  <c r="CE110" i="8"/>
  <c r="CD110" i="8"/>
  <c r="CC110" i="8"/>
  <c r="CB110" i="8"/>
  <c r="CA110" i="8"/>
  <c r="BZ110" i="8"/>
  <c r="BY110" i="8"/>
  <c r="BX110" i="8"/>
  <c r="BW110" i="8"/>
  <c r="BV110" i="8"/>
  <c r="BU110" i="8"/>
  <c r="BT110" i="8"/>
  <c r="BS110" i="8"/>
  <c r="BR110" i="8"/>
  <c r="BQ110" i="8"/>
  <c r="BP110" i="8"/>
  <c r="BO110" i="8"/>
  <c r="BN110" i="8"/>
  <c r="BM110" i="8"/>
  <c r="BL110" i="8"/>
  <c r="BK110" i="8"/>
  <c r="BJ110" i="8"/>
  <c r="AS110" i="8"/>
  <c r="AR110" i="8"/>
  <c r="AP110" i="8"/>
  <c r="AO110" i="8"/>
  <c r="N110" i="8"/>
  <c r="CW109" i="8"/>
  <c r="CX109" i="8" s="1"/>
  <c r="CT109" i="8"/>
  <c r="CU109" i="8" s="1"/>
  <c r="CS109" i="8"/>
  <c r="CQ109" i="8"/>
  <c r="CP109" i="8"/>
  <c r="CO109" i="8"/>
  <c r="CL109" i="8"/>
  <c r="CM109" i="8" s="1"/>
  <c r="CJ109" i="8"/>
  <c r="CI109" i="8"/>
  <c r="CG109" i="8"/>
  <c r="CF109" i="8"/>
  <c r="CE109" i="8"/>
  <c r="CD109" i="8"/>
  <c r="CC109" i="8"/>
  <c r="CB109" i="8"/>
  <c r="CA109" i="8"/>
  <c r="BZ109" i="8"/>
  <c r="BY109" i="8"/>
  <c r="BX109" i="8"/>
  <c r="BW109" i="8"/>
  <c r="BV109" i="8"/>
  <c r="BU109" i="8"/>
  <c r="BT109" i="8"/>
  <c r="BS109" i="8"/>
  <c r="BR109" i="8"/>
  <c r="BQ109" i="8"/>
  <c r="BP109" i="8"/>
  <c r="BO109" i="8"/>
  <c r="BN109" i="8"/>
  <c r="BM109" i="8"/>
  <c r="BL109" i="8"/>
  <c r="BK109" i="8"/>
  <c r="BJ109" i="8"/>
  <c r="AS109" i="8"/>
  <c r="AR109" i="8"/>
  <c r="AP109" i="8"/>
  <c r="AO109" i="8"/>
  <c r="N109" i="8"/>
  <c r="CW108" i="8"/>
  <c r="CX108" i="8" s="1"/>
  <c r="CU108" i="8"/>
  <c r="CS108" i="8"/>
  <c r="CT108" i="8" s="1"/>
  <c r="CQ108" i="8"/>
  <c r="CP108" i="8"/>
  <c r="CO108" i="8"/>
  <c r="CL108" i="8"/>
  <c r="CM108" i="8" s="1"/>
  <c r="CJ108" i="8"/>
  <c r="CI108" i="8"/>
  <c r="CG108" i="8"/>
  <c r="CF108" i="8"/>
  <c r="CE108" i="8"/>
  <c r="CD108" i="8"/>
  <c r="CC108" i="8"/>
  <c r="CB108" i="8"/>
  <c r="CA108" i="8"/>
  <c r="BZ108" i="8"/>
  <c r="BY108" i="8"/>
  <c r="BX108" i="8"/>
  <c r="BW108" i="8"/>
  <c r="BV108" i="8"/>
  <c r="BU108" i="8"/>
  <c r="BT108" i="8"/>
  <c r="BS108" i="8"/>
  <c r="BR108" i="8"/>
  <c r="BQ108" i="8"/>
  <c r="BP108" i="8"/>
  <c r="BO108" i="8"/>
  <c r="BN108" i="8"/>
  <c r="BM108" i="8"/>
  <c r="BL108" i="8"/>
  <c r="BK108" i="8"/>
  <c r="BJ108" i="8"/>
  <c r="AS108" i="8"/>
  <c r="AR108" i="8"/>
  <c r="AP108" i="8"/>
  <c r="AO108" i="8"/>
  <c r="N108" i="8"/>
  <c r="CW107" i="8"/>
  <c r="CX107" i="8" s="1"/>
  <c r="CS107" i="8"/>
  <c r="CQ107" i="8"/>
  <c r="CP107" i="8"/>
  <c r="CO107" i="8"/>
  <c r="CL107" i="8"/>
  <c r="CM107" i="8" s="1"/>
  <c r="CJ107" i="8"/>
  <c r="CI107" i="8"/>
  <c r="CG107" i="8"/>
  <c r="CF107" i="8"/>
  <c r="CE107" i="8"/>
  <c r="CD107" i="8"/>
  <c r="CC107" i="8"/>
  <c r="CB107" i="8"/>
  <c r="CA107" i="8"/>
  <c r="BZ107" i="8"/>
  <c r="BY107" i="8"/>
  <c r="BX107" i="8"/>
  <c r="BW107" i="8"/>
  <c r="BV107" i="8"/>
  <c r="BU107" i="8"/>
  <c r="BT107" i="8"/>
  <c r="BS107" i="8"/>
  <c r="BR107" i="8"/>
  <c r="BQ107" i="8"/>
  <c r="BP107" i="8"/>
  <c r="BO107" i="8"/>
  <c r="BN107" i="8"/>
  <c r="BM107" i="8"/>
  <c r="BL107" i="8"/>
  <c r="BK107" i="8"/>
  <c r="BJ107" i="8"/>
  <c r="AS107" i="8"/>
  <c r="AR107" i="8"/>
  <c r="AP107" i="8"/>
  <c r="AO107" i="8"/>
  <c r="N107" i="8"/>
  <c r="CW106" i="8"/>
  <c r="CX106" i="8" s="1"/>
  <c r="CT106" i="8"/>
  <c r="CS106" i="8"/>
  <c r="CQ106" i="8"/>
  <c r="CP106" i="8"/>
  <c r="CO106" i="8"/>
  <c r="CL106" i="8"/>
  <c r="CM106" i="8" s="1"/>
  <c r="CJ106" i="8"/>
  <c r="CI106" i="8"/>
  <c r="CG106" i="8"/>
  <c r="CF106" i="8"/>
  <c r="CE106" i="8"/>
  <c r="CD106" i="8"/>
  <c r="CC106" i="8"/>
  <c r="CB106" i="8"/>
  <c r="CA106" i="8"/>
  <c r="BZ106" i="8"/>
  <c r="BY106" i="8"/>
  <c r="BX106" i="8"/>
  <c r="BW106" i="8"/>
  <c r="BV106" i="8"/>
  <c r="BU106" i="8"/>
  <c r="BT106" i="8"/>
  <c r="BS106" i="8"/>
  <c r="BR106" i="8"/>
  <c r="BQ106" i="8"/>
  <c r="BP106" i="8"/>
  <c r="BO106" i="8"/>
  <c r="BN106" i="8"/>
  <c r="BM106" i="8"/>
  <c r="BL106" i="8"/>
  <c r="BK106" i="8"/>
  <c r="BJ106" i="8"/>
  <c r="AS106" i="8"/>
  <c r="AR106" i="8"/>
  <c r="AP106" i="8"/>
  <c r="AO106" i="8"/>
  <c r="N106" i="8"/>
  <c r="CW105" i="8"/>
  <c r="CX105" i="8" s="1"/>
  <c r="CS105" i="8"/>
  <c r="CT105" i="8" s="1"/>
  <c r="CU105" i="8" s="1"/>
  <c r="CQ105" i="8"/>
  <c r="CP105" i="8"/>
  <c r="CO105" i="8"/>
  <c r="CL105" i="8"/>
  <c r="CM105" i="8" s="1"/>
  <c r="CJ105" i="8"/>
  <c r="CI105" i="8"/>
  <c r="CG105" i="8"/>
  <c r="CF105" i="8"/>
  <c r="CE105" i="8"/>
  <c r="CD105" i="8"/>
  <c r="CC105" i="8"/>
  <c r="CB105" i="8"/>
  <c r="CA105" i="8"/>
  <c r="BZ105" i="8"/>
  <c r="BY105" i="8"/>
  <c r="BX105" i="8"/>
  <c r="BW105" i="8"/>
  <c r="BV105" i="8"/>
  <c r="BU105" i="8"/>
  <c r="BT105" i="8"/>
  <c r="BS105" i="8"/>
  <c r="BR105" i="8"/>
  <c r="BQ105" i="8"/>
  <c r="BP105" i="8"/>
  <c r="BO105" i="8"/>
  <c r="BN105" i="8"/>
  <c r="BM105" i="8"/>
  <c r="BL105" i="8"/>
  <c r="BK105" i="8"/>
  <c r="BJ105" i="8"/>
  <c r="AS105" i="8"/>
  <c r="AR105" i="8"/>
  <c r="AP105" i="8"/>
  <c r="AO105" i="8"/>
  <c r="N105" i="8"/>
  <c r="CW104" i="8"/>
  <c r="CX104" i="8" s="1"/>
  <c r="CS104" i="8"/>
  <c r="CT104" i="8" s="1"/>
  <c r="CQ104" i="8"/>
  <c r="CP104" i="8"/>
  <c r="CO104" i="8"/>
  <c r="CL104" i="8"/>
  <c r="CM104" i="8" s="1"/>
  <c r="CJ104" i="8"/>
  <c r="CI104" i="8"/>
  <c r="CG104" i="8"/>
  <c r="CF104" i="8"/>
  <c r="CE104" i="8"/>
  <c r="CD104" i="8"/>
  <c r="CC104" i="8"/>
  <c r="CB104" i="8"/>
  <c r="CA104" i="8"/>
  <c r="BZ104" i="8"/>
  <c r="BY104" i="8"/>
  <c r="BX104" i="8"/>
  <c r="BW104" i="8"/>
  <c r="BV104" i="8"/>
  <c r="BU104" i="8"/>
  <c r="BT104" i="8"/>
  <c r="BS104" i="8"/>
  <c r="BR104" i="8"/>
  <c r="BQ104" i="8"/>
  <c r="BP104" i="8"/>
  <c r="BO104" i="8"/>
  <c r="BN104" i="8"/>
  <c r="BM104" i="8"/>
  <c r="BL104" i="8"/>
  <c r="BK104" i="8"/>
  <c r="BJ104" i="8"/>
  <c r="AS104" i="8"/>
  <c r="AR104" i="8"/>
  <c r="AP104" i="8"/>
  <c r="AO104" i="8"/>
  <c r="N104" i="8"/>
  <c r="CW103" i="8"/>
  <c r="CX103" i="8" s="1"/>
  <c r="CS103" i="8"/>
  <c r="CQ103" i="8"/>
  <c r="CP103" i="8"/>
  <c r="CO103" i="8"/>
  <c r="CL103" i="8"/>
  <c r="CM103" i="8" s="1"/>
  <c r="CJ103" i="8"/>
  <c r="CI103" i="8"/>
  <c r="CG103" i="8"/>
  <c r="CF103" i="8"/>
  <c r="CE103" i="8"/>
  <c r="CD103" i="8"/>
  <c r="CC103" i="8"/>
  <c r="CB103" i="8"/>
  <c r="CA103" i="8"/>
  <c r="BZ103" i="8"/>
  <c r="BY103" i="8"/>
  <c r="BX103" i="8"/>
  <c r="BW103" i="8"/>
  <c r="BV103" i="8"/>
  <c r="BU103" i="8"/>
  <c r="BT103" i="8"/>
  <c r="BS103" i="8"/>
  <c r="BR103" i="8"/>
  <c r="BQ103" i="8"/>
  <c r="BP103" i="8"/>
  <c r="BO103" i="8"/>
  <c r="BN103" i="8"/>
  <c r="BM103" i="8"/>
  <c r="BL103" i="8"/>
  <c r="BK103" i="8"/>
  <c r="BJ103" i="8"/>
  <c r="AS103" i="8"/>
  <c r="AR103" i="8"/>
  <c r="AP103" i="8"/>
  <c r="AO103" i="8"/>
  <c r="N103" i="8"/>
  <c r="CW102" i="8"/>
  <c r="CX102" i="8" s="1"/>
  <c r="CS102" i="8"/>
  <c r="CT102" i="8" s="1"/>
  <c r="CQ102" i="8"/>
  <c r="CP102" i="8"/>
  <c r="CO102" i="8"/>
  <c r="CL102" i="8"/>
  <c r="CM102" i="8" s="1"/>
  <c r="CJ102" i="8"/>
  <c r="CI102" i="8"/>
  <c r="CG102" i="8"/>
  <c r="CF102" i="8"/>
  <c r="CE102" i="8"/>
  <c r="CD102" i="8"/>
  <c r="CC102" i="8"/>
  <c r="CB102" i="8"/>
  <c r="CA102" i="8"/>
  <c r="BZ102" i="8"/>
  <c r="BY102" i="8"/>
  <c r="BX102" i="8"/>
  <c r="BW102" i="8"/>
  <c r="BV102" i="8"/>
  <c r="BU102" i="8"/>
  <c r="BT102" i="8"/>
  <c r="BS102" i="8"/>
  <c r="BR102" i="8"/>
  <c r="BQ102" i="8"/>
  <c r="BP102" i="8"/>
  <c r="BO102" i="8"/>
  <c r="BN102" i="8"/>
  <c r="BM102" i="8"/>
  <c r="BL102" i="8"/>
  <c r="BK102" i="8"/>
  <c r="BJ102" i="8"/>
  <c r="AS102" i="8"/>
  <c r="AR102" i="8"/>
  <c r="AP102" i="8"/>
  <c r="AO102" i="8"/>
  <c r="N102" i="8"/>
  <c r="CW101" i="8"/>
  <c r="CX101" i="8" s="1"/>
  <c r="CS101" i="8"/>
  <c r="CQ101" i="8"/>
  <c r="CP101" i="8"/>
  <c r="CO101" i="8"/>
  <c r="CL101" i="8"/>
  <c r="CM101" i="8" s="1"/>
  <c r="CJ101" i="8"/>
  <c r="CI101" i="8"/>
  <c r="CG101" i="8"/>
  <c r="CF101" i="8"/>
  <c r="CE101" i="8"/>
  <c r="CD101" i="8"/>
  <c r="CC101" i="8"/>
  <c r="CB101" i="8"/>
  <c r="CA101" i="8"/>
  <c r="BZ101" i="8"/>
  <c r="BY101" i="8"/>
  <c r="BX101" i="8"/>
  <c r="BW101" i="8"/>
  <c r="BV101" i="8"/>
  <c r="BU101" i="8"/>
  <c r="BT101" i="8"/>
  <c r="BS101" i="8"/>
  <c r="BR101" i="8"/>
  <c r="BQ101" i="8"/>
  <c r="BP101" i="8"/>
  <c r="BO101" i="8"/>
  <c r="BN101" i="8"/>
  <c r="BM101" i="8"/>
  <c r="BL101" i="8"/>
  <c r="BK101" i="8"/>
  <c r="BJ101" i="8"/>
  <c r="AS101" i="8"/>
  <c r="AR101" i="8"/>
  <c r="AP101" i="8"/>
  <c r="AO101" i="8"/>
  <c r="N101" i="8"/>
  <c r="CW100" i="8"/>
  <c r="CX100" i="8" s="1"/>
  <c r="CS100" i="8"/>
  <c r="CQ100" i="8"/>
  <c r="CP100" i="8"/>
  <c r="CO100" i="8"/>
  <c r="CL100" i="8"/>
  <c r="CM100" i="8" s="1"/>
  <c r="CJ100" i="8"/>
  <c r="CI100" i="8"/>
  <c r="CG100" i="8"/>
  <c r="CF100" i="8"/>
  <c r="CE100" i="8"/>
  <c r="CD100" i="8"/>
  <c r="CC100" i="8"/>
  <c r="CB100" i="8"/>
  <c r="CA100" i="8"/>
  <c r="BZ100" i="8"/>
  <c r="BY100" i="8"/>
  <c r="BX100" i="8"/>
  <c r="BW100" i="8"/>
  <c r="BV100" i="8"/>
  <c r="BU100" i="8"/>
  <c r="BT100" i="8"/>
  <c r="BS100" i="8"/>
  <c r="BR100" i="8"/>
  <c r="BQ100" i="8"/>
  <c r="BP100" i="8"/>
  <c r="BO100" i="8"/>
  <c r="BN100" i="8"/>
  <c r="BM100" i="8"/>
  <c r="BL100" i="8"/>
  <c r="BK100" i="8"/>
  <c r="BJ100" i="8"/>
  <c r="AS100" i="8"/>
  <c r="AR100" i="8"/>
  <c r="AP100" i="8"/>
  <c r="AO100" i="8"/>
  <c r="N100" i="8"/>
  <c r="CW99" i="8"/>
  <c r="CX99" i="8" s="1"/>
  <c r="CS99" i="8"/>
  <c r="CQ99" i="8"/>
  <c r="CP99" i="8"/>
  <c r="CO99" i="8"/>
  <c r="CL99" i="8"/>
  <c r="CM99" i="8" s="1"/>
  <c r="CJ99" i="8"/>
  <c r="CI99" i="8"/>
  <c r="CG99" i="8"/>
  <c r="CF99" i="8"/>
  <c r="CE99" i="8"/>
  <c r="CD99" i="8"/>
  <c r="CC99" i="8"/>
  <c r="CB99" i="8"/>
  <c r="CA99" i="8"/>
  <c r="BZ99" i="8"/>
  <c r="BY99" i="8"/>
  <c r="BX99" i="8"/>
  <c r="BW99" i="8"/>
  <c r="BV99" i="8"/>
  <c r="BU99" i="8"/>
  <c r="BT99" i="8"/>
  <c r="BS99" i="8"/>
  <c r="BR99" i="8"/>
  <c r="BQ99" i="8"/>
  <c r="BP99" i="8"/>
  <c r="BO99" i="8"/>
  <c r="BN99" i="8"/>
  <c r="BM99" i="8"/>
  <c r="BL99" i="8"/>
  <c r="BK99" i="8"/>
  <c r="BJ99" i="8"/>
  <c r="AS99" i="8"/>
  <c r="AR99" i="8"/>
  <c r="AP99" i="8"/>
  <c r="AO99" i="8"/>
  <c r="N99" i="8"/>
  <c r="CW98" i="8"/>
  <c r="CX98" i="8" s="1"/>
  <c r="CS98" i="8"/>
  <c r="CQ98" i="8"/>
  <c r="CP98" i="8"/>
  <c r="CO98" i="8"/>
  <c r="CM98" i="8"/>
  <c r="CL98" i="8"/>
  <c r="CJ98" i="8"/>
  <c r="CI98" i="8"/>
  <c r="CG98" i="8"/>
  <c r="CF98" i="8"/>
  <c r="CE98" i="8"/>
  <c r="CD98" i="8"/>
  <c r="CC98" i="8"/>
  <c r="CB98" i="8"/>
  <c r="CA98" i="8"/>
  <c r="BZ98" i="8"/>
  <c r="BY98" i="8"/>
  <c r="BX98" i="8"/>
  <c r="BW98" i="8"/>
  <c r="BV98" i="8"/>
  <c r="BU98" i="8"/>
  <c r="BT98" i="8"/>
  <c r="BS98" i="8"/>
  <c r="BR98" i="8"/>
  <c r="BQ98" i="8"/>
  <c r="BP98" i="8"/>
  <c r="BO98" i="8"/>
  <c r="BN98" i="8"/>
  <c r="BM98" i="8"/>
  <c r="BL98" i="8"/>
  <c r="BK98" i="8"/>
  <c r="BJ98" i="8"/>
  <c r="AS98" i="8"/>
  <c r="AR98" i="8"/>
  <c r="AP98" i="8"/>
  <c r="AO98" i="8"/>
  <c r="N98" i="8"/>
  <c r="CW97" i="8"/>
  <c r="CX97" i="8" s="1"/>
  <c r="CS97" i="8"/>
  <c r="CT97" i="8" s="1"/>
  <c r="CU97" i="8" s="1"/>
  <c r="CQ97" i="8"/>
  <c r="CP97" i="8"/>
  <c r="CO97" i="8"/>
  <c r="CM97" i="8"/>
  <c r="CL97" i="8"/>
  <c r="CJ97" i="8"/>
  <c r="CI97" i="8"/>
  <c r="CG97" i="8"/>
  <c r="CF97" i="8"/>
  <c r="CE97" i="8"/>
  <c r="CD97" i="8"/>
  <c r="CC97" i="8"/>
  <c r="CB97" i="8"/>
  <c r="CA97" i="8"/>
  <c r="BZ97" i="8"/>
  <c r="BY97" i="8"/>
  <c r="BX97" i="8"/>
  <c r="BW97" i="8"/>
  <c r="BV97" i="8"/>
  <c r="BU97" i="8"/>
  <c r="BT97" i="8"/>
  <c r="BS97" i="8"/>
  <c r="BR97" i="8"/>
  <c r="BQ97" i="8"/>
  <c r="BP97" i="8"/>
  <c r="BO97" i="8"/>
  <c r="BN97" i="8"/>
  <c r="BM97" i="8"/>
  <c r="BL97" i="8"/>
  <c r="BK97" i="8"/>
  <c r="BJ97" i="8"/>
  <c r="AS97" i="8"/>
  <c r="AR97" i="8"/>
  <c r="AP97" i="8"/>
  <c r="AO97" i="8"/>
  <c r="N97" i="8"/>
  <c r="CW96" i="8"/>
  <c r="CX96" i="8" s="1"/>
  <c r="CS96" i="8"/>
  <c r="CT96" i="8" s="1"/>
  <c r="CQ96" i="8"/>
  <c r="CP96" i="8"/>
  <c r="CO96" i="8"/>
  <c r="CL96" i="8"/>
  <c r="CM96" i="8" s="1"/>
  <c r="CJ96" i="8"/>
  <c r="CI96" i="8"/>
  <c r="CG96" i="8"/>
  <c r="CF96" i="8"/>
  <c r="CE96" i="8"/>
  <c r="CD96" i="8"/>
  <c r="CC96" i="8"/>
  <c r="CB96" i="8"/>
  <c r="CA96" i="8"/>
  <c r="BZ96" i="8"/>
  <c r="BY96" i="8"/>
  <c r="BX96" i="8"/>
  <c r="BW96" i="8"/>
  <c r="BV96" i="8"/>
  <c r="BU96" i="8"/>
  <c r="BT96" i="8"/>
  <c r="BS96" i="8"/>
  <c r="BR96" i="8"/>
  <c r="BQ96" i="8"/>
  <c r="BP96" i="8"/>
  <c r="BO96" i="8"/>
  <c r="BN96" i="8"/>
  <c r="BM96" i="8"/>
  <c r="BL96" i="8"/>
  <c r="BK96" i="8"/>
  <c r="BJ96" i="8"/>
  <c r="AS96" i="8"/>
  <c r="AR96" i="8"/>
  <c r="AP96" i="8"/>
  <c r="AO96" i="8"/>
  <c r="N96" i="8"/>
  <c r="CW95" i="8"/>
  <c r="CX95" i="8" s="1"/>
  <c r="CS95" i="8"/>
  <c r="CQ95" i="8"/>
  <c r="CP95" i="8"/>
  <c r="CO95" i="8"/>
  <c r="CL95" i="8"/>
  <c r="CM95" i="8" s="1"/>
  <c r="CJ95" i="8"/>
  <c r="CI95" i="8"/>
  <c r="CG95" i="8"/>
  <c r="CF95" i="8"/>
  <c r="CE95" i="8"/>
  <c r="CD95" i="8"/>
  <c r="CC95" i="8"/>
  <c r="CB95" i="8"/>
  <c r="CA95" i="8"/>
  <c r="BZ95" i="8"/>
  <c r="BY95" i="8"/>
  <c r="BX95" i="8"/>
  <c r="BW95" i="8"/>
  <c r="BV95" i="8"/>
  <c r="BU95" i="8"/>
  <c r="BT95" i="8"/>
  <c r="BS95" i="8"/>
  <c r="BR95" i="8"/>
  <c r="BQ95" i="8"/>
  <c r="BP95" i="8"/>
  <c r="BO95" i="8"/>
  <c r="BN95" i="8"/>
  <c r="BM95" i="8"/>
  <c r="BL95" i="8"/>
  <c r="BK95" i="8"/>
  <c r="BJ95" i="8"/>
  <c r="AS95" i="8"/>
  <c r="AR95" i="8"/>
  <c r="AP95" i="8"/>
  <c r="AO95" i="8"/>
  <c r="N95" i="8"/>
  <c r="CW94" i="8"/>
  <c r="CX94" i="8" s="1"/>
  <c r="CS94" i="8"/>
  <c r="CT94" i="8" s="1"/>
  <c r="CQ94" i="8"/>
  <c r="CP94" i="8"/>
  <c r="CO94" i="8"/>
  <c r="CM94" i="8"/>
  <c r="CL94" i="8"/>
  <c r="CJ94" i="8"/>
  <c r="CI94" i="8"/>
  <c r="CG94" i="8"/>
  <c r="CF94" i="8"/>
  <c r="CE94" i="8"/>
  <c r="CD94" i="8"/>
  <c r="CC94" i="8"/>
  <c r="CB94" i="8"/>
  <c r="CA94" i="8"/>
  <c r="BZ94" i="8"/>
  <c r="BY94" i="8"/>
  <c r="BX94" i="8"/>
  <c r="BW94" i="8"/>
  <c r="BV94" i="8"/>
  <c r="BU94" i="8"/>
  <c r="BT94" i="8"/>
  <c r="BS94" i="8"/>
  <c r="BR94" i="8"/>
  <c r="BQ94" i="8"/>
  <c r="BP94" i="8"/>
  <c r="BO94" i="8"/>
  <c r="BN94" i="8"/>
  <c r="BM94" i="8"/>
  <c r="BL94" i="8"/>
  <c r="BK94" i="8"/>
  <c r="BJ94" i="8"/>
  <c r="AS94" i="8"/>
  <c r="AR94" i="8"/>
  <c r="AP94" i="8"/>
  <c r="AO94" i="8"/>
  <c r="N94" i="8"/>
  <c r="CW93" i="8"/>
  <c r="CX93" i="8" s="1"/>
  <c r="CS93" i="8"/>
  <c r="CT93" i="8" s="1"/>
  <c r="CU93" i="8" s="1"/>
  <c r="CQ93" i="8"/>
  <c r="CP93" i="8"/>
  <c r="CO93" i="8"/>
  <c r="CL93" i="8"/>
  <c r="CM93" i="8" s="1"/>
  <c r="CJ93" i="8"/>
  <c r="CI93" i="8"/>
  <c r="CG93" i="8"/>
  <c r="CF93" i="8"/>
  <c r="CE93" i="8"/>
  <c r="CD93" i="8"/>
  <c r="CC93" i="8"/>
  <c r="CB93" i="8"/>
  <c r="CA93" i="8"/>
  <c r="BZ93" i="8"/>
  <c r="BY93" i="8"/>
  <c r="BX93" i="8"/>
  <c r="BW93" i="8"/>
  <c r="BV93" i="8"/>
  <c r="BU93" i="8"/>
  <c r="BT93" i="8"/>
  <c r="BS93" i="8"/>
  <c r="BR93" i="8"/>
  <c r="BQ93" i="8"/>
  <c r="BP93" i="8"/>
  <c r="BO93" i="8"/>
  <c r="BN93" i="8"/>
  <c r="BM93" i="8"/>
  <c r="BL93" i="8"/>
  <c r="BK93" i="8"/>
  <c r="BJ93" i="8"/>
  <c r="AS93" i="8"/>
  <c r="AR93" i="8"/>
  <c r="AP93" i="8"/>
  <c r="AO93" i="8"/>
  <c r="N93" i="8"/>
  <c r="CW92" i="8"/>
  <c r="CX92" i="8" s="1"/>
  <c r="CU92" i="8"/>
  <c r="CS92" i="8"/>
  <c r="CT92" i="8" s="1"/>
  <c r="CQ92" i="8"/>
  <c r="CP92" i="8"/>
  <c r="CO92" i="8"/>
  <c r="CL92" i="8"/>
  <c r="CM92" i="8" s="1"/>
  <c r="CJ92" i="8"/>
  <c r="CI92" i="8"/>
  <c r="CG92" i="8"/>
  <c r="CF92" i="8"/>
  <c r="CE92" i="8"/>
  <c r="CD92" i="8"/>
  <c r="CC92" i="8"/>
  <c r="CB92" i="8"/>
  <c r="CA92" i="8"/>
  <c r="BZ92" i="8"/>
  <c r="BY92" i="8"/>
  <c r="BX92" i="8"/>
  <c r="BW92" i="8"/>
  <c r="BV92" i="8"/>
  <c r="BU92" i="8"/>
  <c r="BT92" i="8"/>
  <c r="BS92" i="8"/>
  <c r="BR92" i="8"/>
  <c r="BQ92" i="8"/>
  <c r="BP92" i="8"/>
  <c r="BO92" i="8"/>
  <c r="BN92" i="8"/>
  <c r="BM92" i="8"/>
  <c r="BL92" i="8"/>
  <c r="BK92" i="8"/>
  <c r="BJ92" i="8"/>
  <c r="AS92" i="8"/>
  <c r="AR92" i="8"/>
  <c r="AP92" i="8"/>
  <c r="AO92" i="8"/>
  <c r="N92" i="8"/>
  <c r="CW91" i="8"/>
  <c r="CX91" i="8" s="1"/>
  <c r="CS91" i="8"/>
  <c r="CQ91" i="8"/>
  <c r="CP91" i="8"/>
  <c r="CO91" i="8"/>
  <c r="CL91" i="8"/>
  <c r="CM91" i="8" s="1"/>
  <c r="CJ91" i="8"/>
  <c r="CI91" i="8"/>
  <c r="CG91" i="8"/>
  <c r="CF91" i="8"/>
  <c r="CE91" i="8"/>
  <c r="CD91" i="8"/>
  <c r="CC91" i="8"/>
  <c r="CB91" i="8"/>
  <c r="CA91" i="8"/>
  <c r="BZ91" i="8"/>
  <c r="BY91" i="8"/>
  <c r="BX91" i="8"/>
  <c r="BW91" i="8"/>
  <c r="BV91" i="8"/>
  <c r="BU91" i="8"/>
  <c r="BT91" i="8"/>
  <c r="BS91" i="8"/>
  <c r="BR91" i="8"/>
  <c r="BQ91" i="8"/>
  <c r="BP91" i="8"/>
  <c r="BO91" i="8"/>
  <c r="BN91" i="8"/>
  <c r="BM91" i="8"/>
  <c r="BL91" i="8"/>
  <c r="BK91" i="8"/>
  <c r="BJ91" i="8"/>
  <c r="AS91" i="8"/>
  <c r="AR91" i="8"/>
  <c r="AP91" i="8"/>
  <c r="AO91" i="8"/>
  <c r="N91" i="8"/>
  <c r="CW90" i="8"/>
  <c r="CX90" i="8" s="1"/>
  <c r="CT90" i="8"/>
  <c r="CS90" i="8"/>
  <c r="CQ90" i="8"/>
  <c r="CP90" i="8"/>
  <c r="CO90" i="8"/>
  <c r="CL90" i="8"/>
  <c r="CM90" i="8" s="1"/>
  <c r="CJ90" i="8"/>
  <c r="CI90" i="8"/>
  <c r="CG90" i="8"/>
  <c r="CF90" i="8"/>
  <c r="CE90" i="8"/>
  <c r="CD90" i="8"/>
  <c r="CC90" i="8"/>
  <c r="CB90" i="8"/>
  <c r="CA90" i="8"/>
  <c r="BZ90" i="8"/>
  <c r="BY90" i="8"/>
  <c r="BX90" i="8"/>
  <c r="BW90" i="8"/>
  <c r="BV90" i="8"/>
  <c r="BU90" i="8"/>
  <c r="BT90" i="8"/>
  <c r="BS90" i="8"/>
  <c r="BR90" i="8"/>
  <c r="BQ90" i="8"/>
  <c r="BP90" i="8"/>
  <c r="BO90" i="8"/>
  <c r="BN90" i="8"/>
  <c r="BM90" i="8"/>
  <c r="BL90" i="8"/>
  <c r="BK90" i="8"/>
  <c r="BJ90" i="8"/>
  <c r="AS90" i="8"/>
  <c r="AR90" i="8"/>
  <c r="AP90" i="8"/>
  <c r="AO90" i="8"/>
  <c r="N90" i="8"/>
  <c r="CW89" i="8"/>
  <c r="CX89" i="8" s="1"/>
  <c r="CS89" i="8"/>
  <c r="CT89" i="8" s="1"/>
  <c r="CU89" i="8" s="1"/>
  <c r="CQ89" i="8"/>
  <c r="CP89" i="8"/>
  <c r="CO89" i="8"/>
  <c r="CL89" i="8"/>
  <c r="CM89" i="8" s="1"/>
  <c r="CJ89" i="8"/>
  <c r="CI89" i="8"/>
  <c r="CG89" i="8"/>
  <c r="CF89" i="8"/>
  <c r="CE89" i="8"/>
  <c r="CD89" i="8"/>
  <c r="CC89" i="8"/>
  <c r="CB89" i="8"/>
  <c r="CA89" i="8"/>
  <c r="BZ89" i="8"/>
  <c r="BY89" i="8"/>
  <c r="BX89" i="8"/>
  <c r="BW89" i="8"/>
  <c r="BV89" i="8"/>
  <c r="BU89" i="8"/>
  <c r="BT89" i="8"/>
  <c r="BS89" i="8"/>
  <c r="BR89" i="8"/>
  <c r="BQ89" i="8"/>
  <c r="BP89" i="8"/>
  <c r="BO89" i="8"/>
  <c r="BN89" i="8"/>
  <c r="BM89" i="8"/>
  <c r="BL89" i="8"/>
  <c r="BK89" i="8"/>
  <c r="BJ89" i="8"/>
  <c r="AS89" i="8"/>
  <c r="AR89" i="8"/>
  <c r="AP89" i="8"/>
  <c r="AO89" i="8"/>
  <c r="N89" i="8"/>
  <c r="CW88" i="8"/>
  <c r="CX88" i="8" s="1"/>
  <c r="CS88" i="8"/>
  <c r="CT88" i="8" s="1"/>
  <c r="CU88" i="8" s="1"/>
  <c r="CQ88" i="8"/>
  <c r="CP88" i="8"/>
  <c r="CO88" i="8"/>
  <c r="CL88" i="8"/>
  <c r="CM88" i="8" s="1"/>
  <c r="CJ88" i="8"/>
  <c r="CI88" i="8"/>
  <c r="CG88" i="8"/>
  <c r="CF88" i="8"/>
  <c r="CE88" i="8"/>
  <c r="CD88" i="8"/>
  <c r="CC88" i="8"/>
  <c r="CB88" i="8"/>
  <c r="CA88" i="8"/>
  <c r="BZ88" i="8"/>
  <c r="BY88" i="8"/>
  <c r="BX88" i="8"/>
  <c r="BW88" i="8"/>
  <c r="BV88" i="8"/>
  <c r="BU88" i="8"/>
  <c r="BT88" i="8"/>
  <c r="BS88" i="8"/>
  <c r="BR88" i="8"/>
  <c r="BQ88" i="8"/>
  <c r="BP88" i="8"/>
  <c r="BO88" i="8"/>
  <c r="BN88" i="8"/>
  <c r="BM88" i="8"/>
  <c r="BL88" i="8"/>
  <c r="BK88" i="8"/>
  <c r="BJ88" i="8"/>
  <c r="AS88" i="8"/>
  <c r="AR88" i="8"/>
  <c r="AP88" i="8"/>
  <c r="AO88" i="8"/>
  <c r="N88" i="8"/>
  <c r="CW87" i="8"/>
  <c r="CX87" i="8" s="1"/>
  <c r="CS87" i="8"/>
  <c r="CQ87" i="8"/>
  <c r="CP87" i="8"/>
  <c r="CO87" i="8"/>
  <c r="CM87" i="8"/>
  <c r="CL87" i="8"/>
  <c r="CJ87" i="8"/>
  <c r="CI87" i="8"/>
  <c r="CG87" i="8"/>
  <c r="CF87" i="8"/>
  <c r="CE87" i="8"/>
  <c r="CD87" i="8"/>
  <c r="CC87" i="8"/>
  <c r="CB87" i="8"/>
  <c r="CA87" i="8"/>
  <c r="BZ87" i="8"/>
  <c r="BY87" i="8"/>
  <c r="BX87" i="8"/>
  <c r="BW87" i="8"/>
  <c r="BV87" i="8"/>
  <c r="BU87" i="8"/>
  <c r="BT87" i="8"/>
  <c r="BS87" i="8"/>
  <c r="BR87" i="8"/>
  <c r="BQ87" i="8"/>
  <c r="BP87" i="8"/>
  <c r="BO87" i="8"/>
  <c r="BN87" i="8"/>
  <c r="BM87" i="8"/>
  <c r="BL87" i="8"/>
  <c r="BK87" i="8"/>
  <c r="BJ87" i="8"/>
  <c r="AS87" i="8"/>
  <c r="AR87" i="8"/>
  <c r="AP87" i="8"/>
  <c r="AO87" i="8"/>
  <c r="N87" i="8"/>
  <c r="CW86" i="8"/>
  <c r="CX86" i="8" s="1"/>
  <c r="CS86" i="8"/>
  <c r="CQ86" i="8"/>
  <c r="CP86" i="8"/>
  <c r="CO86" i="8"/>
  <c r="CL86" i="8"/>
  <c r="CM86" i="8" s="1"/>
  <c r="CJ86" i="8"/>
  <c r="CI86" i="8"/>
  <c r="CG86" i="8"/>
  <c r="CF86" i="8"/>
  <c r="CE86" i="8"/>
  <c r="CD86" i="8"/>
  <c r="CC86" i="8"/>
  <c r="CB86" i="8"/>
  <c r="CA86" i="8"/>
  <c r="BZ86" i="8"/>
  <c r="BY86" i="8"/>
  <c r="BX86" i="8"/>
  <c r="BW86" i="8"/>
  <c r="BV86" i="8"/>
  <c r="BU86" i="8"/>
  <c r="BT86" i="8"/>
  <c r="BS86" i="8"/>
  <c r="BR86" i="8"/>
  <c r="BQ86" i="8"/>
  <c r="BP86" i="8"/>
  <c r="BO86" i="8"/>
  <c r="BN86" i="8"/>
  <c r="BM86" i="8"/>
  <c r="BL86" i="8"/>
  <c r="BK86" i="8"/>
  <c r="BJ86" i="8"/>
  <c r="AS86" i="8"/>
  <c r="AR86" i="8"/>
  <c r="AP86" i="8"/>
  <c r="AO86" i="8"/>
  <c r="N86" i="8"/>
  <c r="CW85" i="8"/>
  <c r="CX85" i="8" s="1"/>
  <c r="CS85" i="8"/>
  <c r="CQ85" i="8"/>
  <c r="CP85" i="8"/>
  <c r="CO85" i="8"/>
  <c r="CL85" i="8"/>
  <c r="CM85" i="8" s="1"/>
  <c r="CJ85" i="8"/>
  <c r="CI85" i="8"/>
  <c r="CG85" i="8"/>
  <c r="CF85" i="8"/>
  <c r="CE85" i="8"/>
  <c r="CD85" i="8"/>
  <c r="CC85" i="8"/>
  <c r="CB85" i="8"/>
  <c r="CA85" i="8"/>
  <c r="BZ85" i="8"/>
  <c r="BY85" i="8"/>
  <c r="BX85" i="8"/>
  <c r="BW85" i="8"/>
  <c r="BV85" i="8"/>
  <c r="BU85" i="8"/>
  <c r="BT85" i="8"/>
  <c r="BS85" i="8"/>
  <c r="BR85" i="8"/>
  <c r="BQ85" i="8"/>
  <c r="BP85" i="8"/>
  <c r="BO85" i="8"/>
  <c r="BN85" i="8"/>
  <c r="BM85" i="8"/>
  <c r="BL85" i="8"/>
  <c r="BK85" i="8"/>
  <c r="BJ85" i="8"/>
  <c r="AS85" i="8"/>
  <c r="AR85" i="8"/>
  <c r="AP85" i="8"/>
  <c r="AO85" i="8"/>
  <c r="N85" i="8"/>
  <c r="CW84" i="8"/>
  <c r="CX84" i="8" s="1"/>
  <c r="CS84" i="8"/>
  <c r="CT84" i="8" s="1"/>
  <c r="CU84" i="8" s="1"/>
  <c r="CQ84" i="8"/>
  <c r="CP84" i="8"/>
  <c r="CO84" i="8"/>
  <c r="CL84" i="8"/>
  <c r="CM84" i="8" s="1"/>
  <c r="CJ84" i="8"/>
  <c r="CI84" i="8"/>
  <c r="CG84" i="8"/>
  <c r="CF84" i="8"/>
  <c r="CE84" i="8"/>
  <c r="CD84" i="8"/>
  <c r="CC84" i="8"/>
  <c r="CB84" i="8"/>
  <c r="CA84" i="8"/>
  <c r="BZ84" i="8"/>
  <c r="BY84" i="8"/>
  <c r="BX84" i="8"/>
  <c r="BW84" i="8"/>
  <c r="BV84" i="8"/>
  <c r="BU84" i="8"/>
  <c r="BT84" i="8"/>
  <c r="BS84" i="8"/>
  <c r="BR84" i="8"/>
  <c r="BQ84" i="8"/>
  <c r="BP84" i="8"/>
  <c r="BO84" i="8"/>
  <c r="BN84" i="8"/>
  <c r="BM84" i="8"/>
  <c r="BL84" i="8"/>
  <c r="BK84" i="8"/>
  <c r="BJ84" i="8"/>
  <c r="AS84" i="8"/>
  <c r="AR84" i="8"/>
  <c r="AP84" i="8"/>
  <c r="AO84" i="8"/>
  <c r="N84" i="8"/>
  <c r="CX83" i="8"/>
  <c r="CW83" i="8"/>
  <c r="CS83" i="8"/>
  <c r="CQ83" i="8"/>
  <c r="CP83" i="8"/>
  <c r="CO83" i="8"/>
  <c r="CL83" i="8"/>
  <c r="CM83" i="8" s="1"/>
  <c r="CJ83" i="8"/>
  <c r="CI83" i="8"/>
  <c r="CG83" i="8"/>
  <c r="CF83" i="8"/>
  <c r="CE83" i="8"/>
  <c r="CD83" i="8"/>
  <c r="CC83" i="8"/>
  <c r="CB83" i="8"/>
  <c r="CA83" i="8"/>
  <c r="BZ83" i="8"/>
  <c r="BY83" i="8"/>
  <c r="BX83" i="8"/>
  <c r="BW83" i="8"/>
  <c r="BV83" i="8"/>
  <c r="BU83" i="8"/>
  <c r="BT83" i="8"/>
  <c r="BS83" i="8"/>
  <c r="BR83" i="8"/>
  <c r="BQ83" i="8"/>
  <c r="BP83" i="8"/>
  <c r="BO83" i="8"/>
  <c r="BN83" i="8"/>
  <c r="BM83" i="8"/>
  <c r="BL83" i="8"/>
  <c r="BK83" i="8"/>
  <c r="BJ83" i="8"/>
  <c r="AS83" i="8"/>
  <c r="AR83" i="8"/>
  <c r="AP83" i="8"/>
  <c r="AO83" i="8"/>
  <c r="N83" i="8"/>
  <c r="CW82" i="8"/>
  <c r="CX82" i="8" s="1"/>
  <c r="CS82" i="8"/>
  <c r="CQ82" i="8"/>
  <c r="CP82" i="8"/>
  <c r="CO82" i="8"/>
  <c r="CL82" i="8"/>
  <c r="CM82" i="8" s="1"/>
  <c r="CJ82" i="8"/>
  <c r="CI82" i="8"/>
  <c r="CG82" i="8"/>
  <c r="CF82" i="8"/>
  <c r="CE82" i="8"/>
  <c r="CD82" i="8"/>
  <c r="CC82" i="8"/>
  <c r="CB82" i="8"/>
  <c r="CA82" i="8"/>
  <c r="BZ82" i="8"/>
  <c r="BY82" i="8"/>
  <c r="BX82" i="8"/>
  <c r="BW82" i="8"/>
  <c r="BV82" i="8"/>
  <c r="BU82" i="8"/>
  <c r="BT82" i="8"/>
  <c r="BS82" i="8"/>
  <c r="BR82" i="8"/>
  <c r="BQ82" i="8"/>
  <c r="BP82" i="8"/>
  <c r="BO82" i="8"/>
  <c r="BN82" i="8"/>
  <c r="BM82" i="8"/>
  <c r="BL82" i="8"/>
  <c r="BK82" i="8"/>
  <c r="BJ82" i="8"/>
  <c r="AS82" i="8"/>
  <c r="AR82" i="8"/>
  <c r="AP82" i="8"/>
  <c r="AO82" i="8"/>
  <c r="N82" i="8"/>
  <c r="CW81" i="8"/>
  <c r="CX81" i="8" s="1"/>
  <c r="CT81" i="8"/>
  <c r="CU81" i="8" s="1"/>
  <c r="CS81" i="8"/>
  <c r="CQ81" i="8"/>
  <c r="CP81" i="8"/>
  <c r="CO81" i="8"/>
  <c r="CL81" i="8"/>
  <c r="CM81" i="8" s="1"/>
  <c r="CJ81" i="8"/>
  <c r="CI81" i="8"/>
  <c r="CG81" i="8"/>
  <c r="CF81" i="8"/>
  <c r="CE81" i="8"/>
  <c r="CD81" i="8"/>
  <c r="CC81" i="8"/>
  <c r="CB81" i="8"/>
  <c r="CA81" i="8"/>
  <c r="BZ81" i="8"/>
  <c r="BY81" i="8"/>
  <c r="BX81" i="8"/>
  <c r="BW81" i="8"/>
  <c r="BV81" i="8"/>
  <c r="BU81" i="8"/>
  <c r="BT81" i="8"/>
  <c r="BS81" i="8"/>
  <c r="BR81" i="8"/>
  <c r="BQ81" i="8"/>
  <c r="BP81" i="8"/>
  <c r="BO81" i="8"/>
  <c r="BN81" i="8"/>
  <c r="BM81" i="8"/>
  <c r="BL81" i="8"/>
  <c r="BK81" i="8"/>
  <c r="BJ81" i="8"/>
  <c r="AS81" i="8"/>
  <c r="AR81" i="8"/>
  <c r="AP81" i="8"/>
  <c r="AO81" i="8"/>
  <c r="N81" i="8"/>
  <c r="CW80" i="8"/>
  <c r="CX80" i="8" s="1"/>
  <c r="CS80" i="8"/>
  <c r="CT80" i="8" s="1"/>
  <c r="CU80" i="8" s="1"/>
  <c r="CQ80" i="8"/>
  <c r="CP80" i="8"/>
  <c r="CO80" i="8"/>
  <c r="CL80" i="8"/>
  <c r="CM80" i="8" s="1"/>
  <c r="CJ80" i="8"/>
  <c r="CI80" i="8"/>
  <c r="CG80" i="8"/>
  <c r="CF80" i="8"/>
  <c r="CE80" i="8"/>
  <c r="CD80" i="8"/>
  <c r="CC80" i="8"/>
  <c r="CB80" i="8"/>
  <c r="CA80" i="8"/>
  <c r="BZ80" i="8"/>
  <c r="BY80" i="8"/>
  <c r="BX80" i="8"/>
  <c r="BW80" i="8"/>
  <c r="BV80" i="8"/>
  <c r="BU80" i="8"/>
  <c r="BT80" i="8"/>
  <c r="BS80" i="8"/>
  <c r="BR80" i="8"/>
  <c r="BQ80" i="8"/>
  <c r="BP80" i="8"/>
  <c r="BO80" i="8"/>
  <c r="BN80" i="8"/>
  <c r="BM80" i="8"/>
  <c r="BL80" i="8"/>
  <c r="BK80" i="8"/>
  <c r="BJ80" i="8"/>
  <c r="AS80" i="8"/>
  <c r="AR80" i="8"/>
  <c r="AP80" i="8"/>
  <c r="AO80" i="8"/>
  <c r="N80" i="8"/>
  <c r="CX79" i="8"/>
  <c r="CW79" i="8"/>
  <c r="CS79" i="8"/>
  <c r="CQ79" i="8"/>
  <c r="CP79" i="8"/>
  <c r="CO79" i="8"/>
  <c r="CM79" i="8"/>
  <c r="CL79" i="8"/>
  <c r="CJ79" i="8"/>
  <c r="CI79" i="8"/>
  <c r="CG79" i="8"/>
  <c r="CF79" i="8"/>
  <c r="CE79" i="8"/>
  <c r="CD79" i="8"/>
  <c r="CC79" i="8"/>
  <c r="CB79" i="8"/>
  <c r="CA79" i="8"/>
  <c r="BZ79" i="8"/>
  <c r="BY79" i="8"/>
  <c r="BX79" i="8"/>
  <c r="BW79" i="8"/>
  <c r="BV79" i="8"/>
  <c r="BU79" i="8"/>
  <c r="BT79" i="8"/>
  <c r="BS79" i="8"/>
  <c r="BR79" i="8"/>
  <c r="BQ79" i="8"/>
  <c r="BP79" i="8"/>
  <c r="BO79" i="8"/>
  <c r="BN79" i="8"/>
  <c r="BM79" i="8"/>
  <c r="BL79" i="8"/>
  <c r="BK79" i="8"/>
  <c r="BJ79" i="8"/>
  <c r="AS79" i="8"/>
  <c r="AR79" i="8"/>
  <c r="AP79" i="8"/>
  <c r="AO79" i="8"/>
  <c r="N79" i="8"/>
  <c r="CW78" i="8"/>
  <c r="CX78" i="8" s="1"/>
  <c r="CS78" i="8"/>
  <c r="CQ78" i="8"/>
  <c r="CP78" i="8"/>
  <c r="CO78" i="8"/>
  <c r="CL78" i="8"/>
  <c r="CM78" i="8" s="1"/>
  <c r="CJ78" i="8"/>
  <c r="CI78" i="8"/>
  <c r="CG78" i="8"/>
  <c r="CF78" i="8"/>
  <c r="CE78" i="8"/>
  <c r="CD78" i="8"/>
  <c r="CC78" i="8"/>
  <c r="CB78" i="8"/>
  <c r="CA78" i="8"/>
  <c r="BZ78" i="8"/>
  <c r="BY78" i="8"/>
  <c r="BX78" i="8"/>
  <c r="BW78" i="8"/>
  <c r="BV78" i="8"/>
  <c r="BU78" i="8"/>
  <c r="BT78" i="8"/>
  <c r="BS78" i="8"/>
  <c r="BR78" i="8"/>
  <c r="BQ78" i="8"/>
  <c r="BP78" i="8"/>
  <c r="BO78" i="8"/>
  <c r="BN78" i="8"/>
  <c r="BM78" i="8"/>
  <c r="BL78" i="8"/>
  <c r="BK78" i="8"/>
  <c r="BJ78" i="8"/>
  <c r="AS78" i="8"/>
  <c r="AR78" i="8"/>
  <c r="AP78" i="8"/>
  <c r="AO78" i="8"/>
  <c r="N78" i="8"/>
  <c r="CX77" i="8"/>
  <c r="CW77" i="8"/>
  <c r="CT77" i="8"/>
  <c r="CU77" i="8" s="1"/>
  <c r="CS77" i="8"/>
  <c r="CQ77" i="8"/>
  <c r="CP77" i="8"/>
  <c r="CO77" i="8"/>
  <c r="CL77" i="8"/>
  <c r="CM77" i="8" s="1"/>
  <c r="CJ77" i="8"/>
  <c r="CI77" i="8"/>
  <c r="CG77" i="8"/>
  <c r="CF77" i="8"/>
  <c r="CE77" i="8"/>
  <c r="CD77" i="8"/>
  <c r="CC77" i="8"/>
  <c r="CB77" i="8"/>
  <c r="CA77" i="8"/>
  <c r="BZ77" i="8"/>
  <c r="BY77" i="8"/>
  <c r="BX77" i="8"/>
  <c r="BW77" i="8"/>
  <c r="BV77" i="8"/>
  <c r="BU77" i="8"/>
  <c r="BT77" i="8"/>
  <c r="BS77" i="8"/>
  <c r="BR77" i="8"/>
  <c r="BQ77" i="8"/>
  <c r="BP77" i="8"/>
  <c r="BO77" i="8"/>
  <c r="BN77" i="8"/>
  <c r="BM77" i="8"/>
  <c r="BL77" i="8"/>
  <c r="BK77" i="8"/>
  <c r="BJ77" i="8"/>
  <c r="AS77" i="8"/>
  <c r="AR77" i="8"/>
  <c r="AP77" i="8"/>
  <c r="AO77" i="8"/>
  <c r="N77" i="8"/>
  <c r="CW76" i="8"/>
  <c r="CX76" i="8" s="1"/>
  <c r="CT76" i="8"/>
  <c r="CS76" i="8"/>
  <c r="CU76" i="8" s="1"/>
  <c r="CQ76" i="8"/>
  <c r="CP76" i="8"/>
  <c r="CO76" i="8"/>
  <c r="CL76" i="8"/>
  <c r="CM76" i="8" s="1"/>
  <c r="CJ76" i="8"/>
  <c r="CI76" i="8"/>
  <c r="CG76" i="8"/>
  <c r="CF76" i="8"/>
  <c r="CE76" i="8"/>
  <c r="CD76" i="8"/>
  <c r="CC76" i="8"/>
  <c r="CB76" i="8"/>
  <c r="CA76" i="8"/>
  <c r="BZ76" i="8"/>
  <c r="BY76" i="8"/>
  <c r="BX76" i="8"/>
  <c r="BW76" i="8"/>
  <c r="BV76" i="8"/>
  <c r="BU76" i="8"/>
  <c r="BT76" i="8"/>
  <c r="BS76" i="8"/>
  <c r="BR76" i="8"/>
  <c r="BQ76" i="8"/>
  <c r="BP76" i="8"/>
  <c r="BO76" i="8"/>
  <c r="BN76" i="8"/>
  <c r="BM76" i="8"/>
  <c r="BL76" i="8"/>
  <c r="BK76" i="8"/>
  <c r="BJ76" i="8"/>
  <c r="AS76" i="8"/>
  <c r="AR76" i="8"/>
  <c r="AP76" i="8"/>
  <c r="AO76" i="8"/>
  <c r="N76" i="8"/>
  <c r="CW75" i="8"/>
  <c r="CX75" i="8" s="1"/>
  <c r="CS75" i="8"/>
  <c r="CQ75" i="8"/>
  <c r="CP75" i="8"/>
  <c r="CO75" i="8"/>
  <c r="CL75" i="8"/>
  <c r="CM75" i="8" s="1"/>
  <c r="CJ75" i="8"/>
  <c r="CI75" i="8"/>
  <c r="CG75" i="8"/>
  <c r="CF75" i="8"/>
  <c r="CE75" i="8"/>
  <c r="CD75" i="8"/>
  <c r="CC75" i="8"/>
  <c r="CB75" i="8"/>
  <c r="CA75" i="8"/>
  <c r="BZ75" i="8"/>
  <c r="BY75" i="8"/>
  <c r="BX75" i="8"/>
  <c r="BW75" i="8"/>
  <c r="BV75" i="8"/>
  <c r="BU75" i="8"/>
  <c r="BT75" i="8"/>
  <c r="BS75" i="8"/>
  <c r="BR75" i="8"/>
  <c r="BQ75" i="8"/>
  <c r="BP75" i="8"/>
  <c r="BO75" i="8"/>
  <c r="BN75" i="8"/>
  <c r="BM75" i="8"/>
  <c r="BL75" i="8"/>
  <c r="BK75" i="8"/>
  <c r="BJ75" i="8"/>
  <c r="AS75" i="8"/>
  <c r="AR75" i="8"/>
  <c r="AP75" i="8"/>
  <c r="AO75" i="8"/>
  <c r="N75" i="8"/>
  <c r="CX74" i="8"/>
  <c r="CW74" i="8"/>
  <c r="CT74" i="8"/>
  <c r="CS74" i="8"/>
  <c r="CQ74" i="8"/>
  <c r="CP74" i="8"/>
  <c r="CO74" i="8"/>
  <c r="CL74" i="8"/>
  <c r="CM74" i="8" s="1"/>
  <c r="CJ74" i="8"/>
  <c r="CI74" i="8"/>
  <c r="CG74" i="8"/>
  <c r="CF74" i="8"/>
  <c r="CE74" i="8"/>
  <c r="CD74" i="8"/>
  <c r="CC74" i="8"/>
  <c r="CB74" i="8"/>
  <c r="CA74" i="8"/>
  <c r="BZ74" i="8"/>
  <c r="BY74" i="8"/>
  <c r="BX74" i="8"/>
  <c r="BW74" i="8"/>
  <c r="BV74" i="8"/>
  <c r="BU74" i="8"/>
  <c r="BT74" i="8"/>
  <c r="BS74" i="8"/>
  <c r="BR74" i="8"/>
  <c r="BQ74" i="8"/>
  <c r="BP74" i="8"/>
  <c r="BO74" i="8"/>
  <c r="BN74" i="8"/>
  <c r="BM74" i="8"/>
  <c r="BL74" i="8"/>
  <c r="BK74" i="8"/>
  <c r="BJ74" i="8"/>
  <c r="AS74" i="8"/>
  <c r="AR74" i="8"/>
  <c r="AP74" i="8"/>
  <c r="AO74" i="8"/>
  <c r="N74" i="8"/>
  <c r="CW73" i="8"/>
  <c r="CX73" i="8" s="1"/>
  <c r="CS73" i="8"/>
  <c r="CT73" i="8" s="1"/>
  <c r="CU73" i="8" s="1"/>
  <c r="CQ73" i="8"/>
  <c r="CP73" i="8"/>
  <c r="CO73" i="8"/>
  <c r="CL73" i="8"/>
  <c r="CM73" i="8" s="1"/>
  <c r="CJ73" i="8"/>
  <c r="CI73" i="8"/>
  <c r="CG73" i="8"/>
  <c r="CF73" i="8"/>
  <c r="CE73" i="8"/>
  <c r="CD73" i="8"/>
  <c r="CC73" i="8"/>
  <c r="CB73" i="8"/>
  <c r="CA73" i="8"/>
  <c r="BZ73" i="8"/>
  <c r="BY73" i="8"/>
  <c r="BX73" i="8"/>
  <c r="BW73" i="8"/>
  <c r="BV73" i="8"/>
  <c r="BU73" i="8"/>
  <c r="BT73" i="8"/>
  <c r="BS73" i="8"/>
  <c r="BR73" i="8"/>
  <c r="BQ73" i="8"/>
  <c r="BP73" i="8"/>
  <c r="BO73" i="8"/>
  <c r="BN73" i="8"/>
  <c r="BM73" i="8"/>
  <c r="BL73" i="8"/>
  <c r="BK73" i="8"/>
  <c r="BJ73" i="8"/>
  <c r="AS73" i="8"/>
  <c r="AR73" i="8"/>
  <c r="AP73" i="8"/>
  <c r="AO73" i="8"/>
  <c r="N73" i="8"/>
  <c r="CW72" i="8"/>
  <c r="CX72" i="8" s="1"/>
  <c r="CS72" i="8"/>
  <c r="CT72" i="8" s="1"/>
  <c r="CQ72" i="8"/>
  <c r="CP72" i="8"/>
  <c r="CO72" i="8"/>
  <c r="CL72" i="8"/>
  <c r="CM72" i="8" s="1"/>
  <c r="CJ72" i="8"/>
  <c r="CI72" i="8"/>
  <c r="CG72" i="8"/>
  <c r="CF72" i="8"/>
  <c r="CE72" i="8"/>
  <c r="CD72" i="8"/>
  <c r="CC72" i="8"/>
  <c r="CB72" i="8"/>
  <c r="CA72" i="8"/>
  <c r="BZ72" i="8"/>
  <c r="BY72" i="8"/>
  <c r="BX72" i="8"/>
  <c r="BW72" i="8"/>
  <c r="BV72" i="8"/>
  <c r="BU72" i="8"/>
  <c r="BT72" i="8"/>
  <c r="BS72" i="8"/>
  <c r="BR72" i="8"/>
  <c r="BQ72" i="8"/>
  <c r="BP72" i="8"/>
  <c r="BO72" i="8"/>
  <c r="BN72" i="8"/>
  <c r="BM72" i="8"/>
  <c r="BL72" i="8"/>
  <c r="BK72" i="8"/>
  <c r="BJ72" i="8"/>
  <c r="AS72" i="8"/>
  <c r="AR72" i="8"/>
  <c r="AP72" i="8"/>
  <c r="AO72" i="8"/>
  <c r="N72" i="8"/>
  <c r="CW71" i="8"/>
  <c r="CX71" i="8" s="1"/>
  <c r="CS71" i="8"/>
  <c r="CQ71" i="8"/>
  <c r="CP71" i="8"/>
  <c r="CO71" i="8"/>
  <c r="CL71" i="8"/>
  <c r="CM71" i="8" s="1"/>
  <c r="CJ71" i="8"/>
  <c r="CI71" i="8"/>
  <c r="CG71" i="8"/>
  <c r="CF71" i="8"/>
  <c r="CE71" i="8"/>
  <c r="CD71" i="8"/>
  <c r="CC71" i="8"/>
  <c r="CB71" i="8"/>
  <c r="CA71" i="8"/>
  <c r="BZ71" i="8"/>
  <c r="BY71" i="8"/>
  <c r="BX71" i="8"/>
  <c r="BW71" i="8"/>
  <c r="BV71" i="8"/>
  <c r="BU71" i="8"/>
  <c r="BT71" i="8"/>
  <c r="BS71" i="8"/>
  <c r="BR71" i="8"/>
  <c r="BQ71" i="8"/>
  <c r="BP71" i="8"/>
  <c r="BO71" i="8"/>
  <c r="BN71" i="8"/>
  <c r="BM71" i="8"/>
  <c r="BL71" i="8"/>
  <c r="BK71" i="8"/>
  <c r="BJ71" i="8"/>
  <c r="AS71" i="8"/>
  <c r="AR71" i="8"/>
  <c r="AP71" i="8"/>
  <c r="AO71" i="8"/>
  <c r="N71" i="8"/>
  <c r="CW70" i="8"/>
  <c r="CX70" i="8" s="1"/>
  <c r="CS70" i="8"/>
  <c r="CT70" i="8" s="1"/>
  <c r="CQ70" i="8"/>
  <c r="CP70" i="8"/>
  <c r="CO70" i="8"/>
  <c r="CM70" i="8"/>
  <c r="CL70" i="8"/>
  <c r="CJ70" i="8"/>
  <c r="CI70" i="8"/>
  <c r="CG70" i="8"/>
  <c r="CF70" i="8"/>
  <c r="CE70" i="8"/>
  <c r="CD70" i="8"/>
  <c r="CC70" i="8"/>
  <c r="CB70" i="8"/>
  <c r="CA70" i="8"/>
  <c r="BZ70" i="8"/>
  <c r="BY70" i="8"/>
  <c r="BX70" i="8"/>
  <c r="BW70" i="8"/>
  <c r="BV70" i="8"/>
  <c r="BU70" i="8"/>
  <c r="BT70" i="8"/>
  <c r="BS70" i="8"/>
  <c r="BR70" i="8"/>
  <c r="BQ70" i="8"/>
  <c r="BP70" i="8"/>
  <c r="BO70" i="8"/>
  <c r="BN70" i="8"/>
  <c r="BM70" i="8"/>
  <c r="BL70" i="8"/>
  <c r="BK70" i="8"/>
  <c r="BJ70" i="8"/>
  <c r="AS70" i="8"/>
  <c r="AR70" i="8"/>
  <c r="AP70" i="8"/>
  <c r="AO70" i="8"/>
  <c r="N70" i="8"/>
  <c r="CW69" i="8"/>
  <c r="CX69" i="8" s="1"/>
  <c r="CT69" i="8"/>
  <c r="CU69" i="8" s="1"/>
  <c r="CS69" i="8"/>
  <c r="CQ69" i="8"/>
  <c r="CP69" i="8"/>
  <c r="CO69" i="8"/>
  <c r="CL69" i="8"/>
  <c r="CM69" i="8" s="1"/>
  <c r="CJ69" i="8"/>
  <c r="CI69" i="8"/>
  <c r="CG69" i="8"/>
  <c r="CF69" i="8"/>
  <c r="CE69" i="8"/>
  <c r="CD69" i="8"/>
  <c r="CC69" i="8"/>
  <c r="CB69" i="8"/>
  <c r="CA69" i="8"/>
  <c r="BZ69" i="8"/>
  <c r="BY69" i="8"/>
  <c r="BX69" i="8"/>
  <c r="BW69" i="8"/>
  <c r="BV69" i="8"/>
  <c r="BU69" i="8"/>
  <c r="BT69" i="8"/>
  <c r="BS69" i="8"/>
  <c r="BR69" i="8"/>
  <c r="BQ69" i="8"/>
  <c r="BP69" i="8"/>
  <c r="BO69" i="8"/>
  <c r="BN69" i="8"/>
  <c r="BM69" i="8"/>
  <c r="BL69" i="8"/>
  <c r="BK69" i="8"/>
  <c r="BJ69" i="8"/>
  <c r="AS69" i="8"/>
  <c r="AR69" i="8"/>
  <c r="AP69" i="8"/>
  <c r="AO69" i="8"/>
  <c r="N69" i="8"/>
  <c r="CW68" i="8"/>
  <c r="CX68" i="8" s="1"/>
  <c r="CU68" i="8"/>
  <c r="CS68" i="8"/>
  <c r="CT68" i="8" s="1"/>
  <c r="CQ68" i="8"/>
  <c r="CP68" i="8"/>
  <c r="CO68" i="8"/>
  <c r="CL68" i="8"/>
  <c r="CM68" i="8" s="1"/>
  <c r="CJ68" i="8"/>
  <c r="CI68" i="8"/>
  <c r="CG68" i="8"/>
  <c r="CF68" i="8"/>
  <c r="CE68" i="8"/>
  <c r="CD68" i="8"/>
  <c r="CC68" i="8"/>
  <c r="CB68" i="8"/>
  <c r="CA68" i="8"/>
  <c r="BZ68" i="8"/>
  <c r="BY68" i="8"/>
  <c r="BX68" i="8"/>
  <c r="BW68" i="8"/>
  <c r="BV68" i="8"/>
  <c r="BU68" i="8"/>
  <c r="BT68" i="8"/>
  <c r="BS68" i="8"/>
  <c r="BR68" i="8"/>
  <c r="BQ68" i="8"/>
  <c r="BP68" i="8"/>
  <c r="BO68" i="8"/>
  <c r="BN68" i="8"/>
  <c r="BM68" i="8"/>
  <c r="BL68" i="8"/>
  <c r="BK68" i="8"/>
  <c r="BJ68" i="8"/>
  <c r="AS68" i="8"/>
  <c r="AR68" i="8"/>
  <c r="AP68" i="8"/>
  <c r="AO68" i="8"/>
  <c r="N68" i="8"/>
  <c r="CW67" i="8"/>
  <c r="CX67" i="8" s="1"/>
  <c r="CS67" i="8"/>
  <c r="CQ67" i="8"/>
  <c r="CP67" i="8"/>
  <c r="CO67" i="8"/>
  <c r="CL67" i="8"/>
  <c r="CM67" i="8" s="1"/>
  <c r="CJ67" i="8"/>
  <c r="CI67" i="8"/>
  <c r="CG67" i="8"/>
  <c r="CF67" i="8"/>
  <c r="CE67" i="8"/>
  <c r="CD67" i="8"/>
  <c r="CC67" i="8"/>
  <c r="CB67" i="8"/>
  <c r="CA67" i="8"/>
  <c r="BZ67" i="8"/>
  <c r="BY67" i="8"/>
  <c r="BX67" i="8"/>
  <c r="BW67" i="8"/>
  <c r="BV67" i="8"/>
  <c r="BU67" i="8"/>
  <c r="BT67" i="8"/>
  <c r="BS67" i="8"/>
  <c r="BR67" i="8"/>
  <c r="BQ67" i="8"/>
  <c r="BP67" i="8"/>
  <c r="BO67" i="8"/>
  <c r="BN67" i="8"/>
  <c r="BM67" i="8"/>
  <c r="BL67" i="8"/>
  <c r="BK67" i="8"/>
  <c r="BJ67" i="8"/>
  <c r="AS67" i="8"/>
  <c r="AR67" i="8"/>
  <c r="AP67" i="8"/>
  <c r="AO67" i="8"/>
  <c r="N67" i="8"/>
  <c r="CX66" i="8"/>
  <c r="CW66" i="8"/>
  <c r="CT66" i="8"/>
  <c r="CS66" i="8"/>
  <c r="CQ66" i="8"/>
  <c r="CP66" i="8"/>
  <c r="CO66" i="8"/>
  <c r="CL66" i="8"/>
  <c r="CM66" i="8" s="1"/>
  <c r="CJ66" i="8"/>
  <c r="CI66" i="8"/>
  <c r="CG66" i="8"/>
  <c r="CF66" i="8"/>
  <c r="CE66" i="8"/>
  <c r="CD66" i="8"/>
  <c r="CC66" i="8"/>
  <c r="CB66" i="8"/>
  <c r="CA66" i="8"/>
  <c r="BZ66" i="8"/>
  <c r="BY66" i="8"/>
  <c r="BX66" i="8"/>
  <c r="BW66" i="8"/>
  <c r="BV66" i="8"/>
  <c r="BU66" i="8"/>
  <c r="BT66" i="8"/>
  <c r="BS66" i="8"/>
  <c r="BR66" i="8"/>
  <c r="BQ66" i="8"/>
  <c r="BP66" i="8"/>
  <c r="BO66" i="8"/>
  <c r="BN66" i="8"/>
  <c r="BM66" i="8"/>
  <c r="BL66" i="8"/>
  <c r="BK66" i="8"/>
  <c r="BJ66" i="8"/>
  <c r="AS66" i="8"/>
  <c r="AR66" i="8"/>
  <c r="AP66" i="8"/>
  <c r="AO66" i="8"/>
  <c r="N66" i="8"/>
  <c r="CX65" i="8"/>
  <c r="CW65" i="8"/>
  <c r="CS65" i="8"/>
  <c r="CT65" i="8" s="1"/>
  <c r="CU65" i="8" s="1"/>
  <c r="CQ65" i="8"/>
  <c r="CP65" i="8"/>
  <c r="CO65" i="8"/>
  <c r="CM65" i="8"/>
  <c r="CL65" i="8"/>
  <c r="CJ65" i="8"/>
  <c r="CI65" i="8"/>
  <c r="CG65" i="8"/>
  <c r="CF65" i="8"/>
  <c r="CE65" i="8"/>
  <c r="CD65" i="8"/>
  <c r="CC65" i="8"/>
  <c r="CB65" i="8"/>
  <c r="CA65" i="8"/>
  <c r="BZ65" i="8"/>
  <c r="BY65" i="8"/>
  <c r="BX65" i="8"/>
  <c r="BW65" i="8"/>
  <c r="BV65" i="8"/>
  <c r="BU65" i="8"/>
  <c r="BT65" i="8"/>
  <c r="BS65" i="8"/>
  <c r="BR65" i="8"/>
  <c r="BQ65" i="8"/>
  <c r="BP65" i="8"/>
  <c r="BO65" i="8"/>
  <c r="BN65" i="8"/>
  <c r="BM65" i="8"/>
  <c r="BL65" i="8"/>
  <c r="BK65" i="8"/>
  <c r="BJ65" i="8"/>
  <c r="AS65" i="8"/>
  <c r="AR65" i="8"/>
  <c r="AP65" i="8"/>
  <c r="AO65" i="8"/>
  <c r="N65" i="8"/>
  <c r="CW64" i="8"/>
  <c r="CX64" i="8" s="1"/>
  <c r="CS64" i="8"/>
  <c r="CT64" i="8" s="1"/>
  <c r="CU64" i="8" s="1"/>
  <c r="CQ64" i="8"/>
  <c r="CP64" i="8"/>
  <c r="CO64" i="8"/>
  <c r="CL64" i="8"/>
  <c r="CM64" i="8" s="1"/>
  <c r="CJ64" i="8"/>
  <c r="CI64" i="8"/>
  <c r="CG64" i="8"/>
  <c r="CF64" i="8"/>
  <c r="CE64" i="8"/>
  <c r="CD64" i="8"/>
  <c r="CC64" i="8"/>
  <c r="CB64" i="8"/>
  <c r="CA64" i="8"/>
  <c r="BZ64" i="8"/>
  <c r="BY64" i="8"/>
  <c r="BX64" i="8"/>
  <c r="BW64" i="8"/>
  <c r="BV64" i="8"/>
  <c r="BU64" i="8"/>
  <c r="BT64" i="8"/>
  <c r="BS64" i="8"/>
  <c r="BR64" i="8"/>
  <c r="BQ64" i="8"/>
  <c r="BP64" i="8"/>
  <c r="BO64" i="8"/>
  <c r="BN64" i="8"/>
  <c r="BM64" i="8"/>
  <c r="BL64" i="8"/>
  <c r="BK64" i="8"/>
  <c r="BJ64" i="8"/>
  <c r="AS64" i="8"/>
  <c r="AR64" i="8"/>
  <c r="AP64" i="8"/>
  <c r="AO64" i="8"/>
  <c r="N64" i="8"/>
  <c r="CX63" i="8"/>
  <c r="CW63" i="8"/>
  <c r="CS63" i="8"/>
  <c r="CQ63" i="8"/>
  <c r="CP63" i="8"/>
  <c r="CO63" i="8"/>
  <c r="CM63" i="8"/>
  <c r="CL63" i="8"/>
  <c r="CJ63" i="8"/>
  <c r="CI63" i="8"/>
  <c r="CG63" i="8"/>
  <c r="CF63" i="8"/>
  <c r="CE63" i="8"/>
  <c r="CD63" i="8"/>
  <c r="CC63" i="8"/>
  <c r="CB63" i="8"/>
  <c r="CA63" i="8"/>
  <c r="BZ63" i="8"/>
  <c r="BY63" i="8"/>
  <c r="BX63" i="8"/>
  <c r="BW63" i="8"/>
  <c r="BV63" i="8"/>
  <c r="BU63" i="8"/>
  <c r="BT63" i="8"/>
  <c r="BS63" i="8"/>
  <c r="BR63" i="8"/>
  <c r="BQ63" i="8"/>
  <c r="BP63" i="8"/>
  <c r="BO63" i="8"/>
  <c r="BN63" i="8"/>
  <c r="BM63" i="8"/>
  <c r="BL63" i="8"/>
  <c r="BK63" i="8"/>
  <c r="BJ63" i="8"/>
  <c r="AS63" i="8"/>
  <c r="AR63" i="8"/>
  <c r="AP63" i="8"/>
  <c r="AO63" i="8"/>
  <c r="N63" i="8"/>
  <c r="CW62" i="8"/>
  <c r="CX62" i="8" s="1"/>
  <c r="CS62" i="8"/>
  <c r="CQ62" i="8"/>
  <c r="CP62" i="8"/>
  <c r="CO62" i="8"/>
  <c r="CL62" i="8"/>
  <c r="CM62" i="8" s="1"/>
  <c r="CJ62" i="8"/>
  <c r="CI62" i="8"/>
  <c r="CG62" i="8"/>
  <c r="CF62" i="8"/>
  <c r="CE62" i="8"/>
  <c r="CD62" i="8"/>
  <c r="CC62" i="8"/>
  <c r="CB62" i="8"/>
  <c r="CA62" i="8"/>
  <c r="BZ62" i="8"/>
  <c r="BY62" i="8"/>
  <c r="BX62" i="8"/>
  <c r="BW62" i="8"/>
  <c r="BV62" i="8"/>
  <c r="BU62" i="8"/>
  <c r="BT62" i="8"/>
  <c r="BS62" i="8"/>
  <c r="BR62" i="8"/>
  <c r="BQ62" i="8"/>
  <c r="BP62" i="8"/>
  <c r="BO62" i="8"/>
  <c r="BN62" i="8"/>
  <c r="BM62" i="8"/>
  <c r="BL62" i="8"/>
  <c r="BK62" i="8"/>
  <c r="BJ62" i="8"/>
  <c r="AS62" i="8"/>
  <c r="AR62" i="8"/>
  <c r="AP62" i="8"/>
  <c r="AO62" i="8"/>
  <c r="N62" i="8"/>
  <c r="CW61" i="8"/>
  <c r="CX61" i="8" s="1"/>
  <c r="CT61" i="8"/>
  <c r="CS61" i="8"/>
  <c r="CU61" i="8" s="1"/>
  <c r="CQ61" i="8"/>
  <c r="CP61" i="8"/>
  <c r="CO61" i="8"/>
  <c r="CL61" i="8"/>
  <c r="CM61" i="8" s="1"/>
  <c r="CJ61" i="8"/>
  <c r="CI61" i="8"/>
  <c r="CG61" i="8"/>
  <c r="CF61" i="8"/>
  <c r="CE61" i="8"/>
  <c r="CD61" i="8"/>
  <c r="CC61" i="8"/>
  <c r="CB61" i="8"/>
  <c r="CA61" i="8"/>
  <c r="BZ61" i="8"/>
  <c r="BY61" i="8"/>
  <c r="BX61" i="8"/>
  <c r="BW61" i="8"/>
  <c r="BV61" i="8"/>
  <c r="BU61" i="8"/>
  <c r="BT61" i="8"/>
  <c r="BS61" i="8"/>
  <c r="BR61" i="8"/>
  <c r="BQ61" i="8"/>
  <c r="BP61" i="8"/>
  <c r="BO61" i="8"/>
  <c r="BN61" i="8"/>
  <c r="BM61" i="8"/>
  <c r="BL61" i="8"/>
  <c r="BK61" i="8"/>
  <c r="BJ61" i="8"/>
  <c r="AS61" i="8"/>
  <c r="AR61" i="8"/>
  <c r="AP61" i="8"/>
  <c r="AO61" i="8"/>
  <c r="N61" i="8"/>
  <c r="CW60" i="8"/>
  <c r="CX60" i="8" s="1"/>
  <c r="CS60" i="8"/>
  <c r="CT60" i="8" s="1"/>
  <c r="CQ60" i="8"/>
  <c r="CP60" i="8"/>
  <c r="CO60" i="8"/>
  <c r="CL60" i="8"/>
  <c r="CM60" i="8" s="1"/>
  <c r="CJ60" i="8"/>
  <c r="CI60" i="8"/>
  <c r="CG60" i="8"/>
  <c r="CF60" i="8"/>
  <c r="CE60" i="8"/>
  <c r="CD60" i="8"/>
  <c r="CC60" i="8"/>
  <c r="CB60" i="8"/>
  <c r="CA60" i="8"/>
  <c r="BZ60" i="8"/>
  <c r="BY60" i="8"/>
  <c r="BX60" i="8"/>
  <c r="BW60" i="8"/>
  <c r="BV60" i="8"/>
  <c r="BU60" i="8"/>
  <c r="BT60" i="8"/>
  <c r="BS60" i="8"/>
  <c r="BR60" i="8"/>
  <c r="BQ60" i="8"/>
  <c r="BP60" i="8"/>
  <c r="BO60" i="8"/>
  <c r="BN60" i="8"/>
  <c r="BM60" i="8"/>
  <c r="BL60" i="8"/>
  <c r="BK60" i="8"/>
  <c r="BJ60" i="8"/>
  <c r="AS60" i="8"/>
  <c r="AR60" i="8"/>
  <c r="AP60" i="8"/>
  <c r="AO60" i="8"/>
  <c r="N60" i="8"/>
  <c r="CW59" i="8"/>
  <c r="CX59" i="8" s="1"/>
  <c r="CS59" i="8"/>
  <c r="CQ59" i="8"/>
  <c r="CP59" i="8"/>
  <c r="CO59" i="8"/>
  <c r="CL59" i="8"/>
  <c r="CM59" i="8" s="1"/>
  <c r="CJ59" i="8"/>
  <c r="CI59" i="8"/>
  <c r="CG59" i="8"/>
  <c r="CF59" i="8"/>
  <c r="CE59" i="8"/>
  <c r="CD59" i="8"/>
  <c r="CC59" i="8"/>
  <c r="CB59" i="8"/>
  <c r="CA59" i="8"/>
  <c r="BZ59" i="8"/>
  <c r="BY59" i="8"/>
  <c r="BX59" i="8"/>
  <c r="BW59" i="8"/>
  <c r="BV59" i="8"/>
  <c r="BU59" i="8"/>
  <c r="BT59" i="8"/>
  <c r="BS59" i="8"/>
  <c r="BR59" i="8"/>
  <c r="BQ59" i="8"/>
  <c r="BP59" i="8"/>
  <c r="BO59" i="8"/>
  <c r="BN59" i="8"/>
  <c r="BM59" i="8"/>
  <c r="BL59" i="8"/>
  <c r="BK59" i="8"/>
  <c r="BJ59" i="8"/>
  <c r="AS59" i="8"/>
  <c r="AR59" i="8"/>
  <c r="AP59" i="8"/>
  <c r="AO59" i="8"/>
  <c r="N59" i="8"/>
  <c r="CW58" i="8"/>
  <c r="CX58" i="8" s="1"/>
  <c r="CS58" i="8"/>
  <c r="CT58" i="8" s="1"/>
  <c r="CQ58" i="8"/>
  <c r="CP58" i="8"/>
  <c r="CO58" i="8"/>
  <c r="CM58" i="8"/>
  <c r="CL58" i="8"/>
  <c r="CJ58" i="8"/>
  <c r="CI58" i="8"/>
  <c r="CG58" i="8"/>
  <c r="CF58" i="8"/>
  <c r="CE58" i="8"/>
  <c r="CD58" i="8"/>
  <c r="CC58" i="8"/>
  <c r="CB58" i="8"/>
  <c r="CA58" i="8"/>
  <c r="BZ58" i="8"/>
  <c r="BY58" i="8"/>
  <c r="BX58" i="8"/>
  <c r="BW58" i="8"/>
  <c r="BV58" i="8"/>
  <c r="BU58" i="8"/>
  <c r="BT58" i="8"/>
  <c r="BS58" i="8"/>
  <c r="BR58" i="8"/>
  <c r="BQ58" i="8"/>
  <c r="BP58" i="8"/>
  <c r="BO58" i="8"/>
  <c r="BN58" i="8"/>
  <c r="BM58" i="8"/>
  <c r="BL58" i="8"/>
  <c r="BK58" i="8"/>
  <c r="BJ58" i="8"/>
  <c r="AS58" i="8"/>
  <c r="AR58" i="8"/>
  <c r="AP58" i="8"/>
  <c r="AO58" i="8"/>
  <c r="N58" i="8"/>
  <c r="CW57" i="8"/>
  <c r="CX57" i="8" s="1"/>
  <c r="CT57" i="8"/>
  <c r="CU57" i="8" s="1"/>
  <c r="CS57" i="8"/>
  <c r="CQ57" i="8"/>
  <c r="CP57" i="8"/>
  <c r="CO57" i="8"/>
  <c r="CL57" i="8"/>
  <c r="CM57" i="8" s="1"/>
  <c r="CJ57" i="8"/>
  <c r="CI57" i="8"/>
  <c r="CG57" i="8"/>
  <c r="CF57" i="8"/>
  <c r="CE57" i="8"/>
  <c r="CD57" i="8"/>
  <c r="CC57" i="8"/>
  <c r="CB57" i="8"/>
  <c r="CA57" i="8"/>
  <c r="BZ57" i="8"/>
  <c r="BY57" i="8"/>
  <c r="BX57" i="8"/>
  <c r="BW57" i="8"/>
  <c r="BV57" i="8"/>
  <c r="BU57" i="8"/>
  <c r="BT57" i="8"/>
  <c r="BS57" i="8"/>
  <c r="BR57" i="8"/>
  <c r="BQ57" i="8"/>
  <c r="BP57" i="8"/>
  <c r="BO57" i="8"/>
  <c r="BN57" i="8"/>
  <c r="BM57" i="8"/>
  <c r="BL57" i="8"/>
  <c r="BK57" i="8"/>
  <c r="BJ57" i="8"/>
  <c r="AS57" i="8"/>
  <c r="AR57" i="8"/>
  <c r="AP57" i="8"/>
  <c r="AO57" i="8"/>
  <c r="N57" i="8"/>
  <c r="CW56" i="8"/>
  <c r="CX56" i="8" s="1"/>
  <c r="CU56" i="8"/>
  <c r="CS56" i="8"/>
  <c r="CT56" i="8" s="1"/>
  <c r="CQ56" i="8"/>
  <c r="CP56" i="8"/>
  <c r="CO56" i="8"/>
  <c r="CL56" i="8"/>
  <c r="CM56" i="8" s="1"/>
  <c r="CJ56" i="8"/>
  <c r="CI56" i="8"/>
  <c r="CG56" i="8"/>
  <c r="CF56" i="8"/>
  <c r="CE56" i="8"/>
  <c r="CD56" i="8"/>
  <c r="CC56" i="8"/>
  <c r="CB56" i="8"/>
  <c r="CA56" i="8"/>
  <c r="BZ56" i="8"/>
  <c r="BY56" i="8"/>
  <c r="BX56" i="8"/>
  <c r="BW56" i="8"/>
  <c r="BV56" i="8"/>
  <c r="BU56" i="8"/>
  <c r="BT56" i="8"/>
  <c r="BS56" i="8"/>
  <c r="BR56" i="8"/>
  <c r="BQ56" i="8"/>
  <c r="BP56" i="8"/>
  <c r="BO56" i="8"/>
  <c r="BN56" i="8"/>
  <c r="BM56" i="8"/>
  <c r="BL56" i="8"/>
  <c r="BK56" i="8"/>
  <c r="BJ56" i="8"/>
  <c r="AS56" i="8"/>
  <c r="AR56" i="8"/>
  <c r="AP56" i="8"/>
  <c r="AO56" i="8"/>
  <c r="N56" i="8"/>
  <c r="CW55" i="8"/>
  <c r="CX55" i="8" s="1"/>
  <c r="CS55" i="8"/>
  <c r="CQ55" i="8"/>
  <c r="CP55" i="8"/>
  <c r="CO55" i="8"/>
  <c r="CL55" i="8"/>
  <c r="CM55" i="8" s="1"/>
  <c r="CJ55" i="8"/>
  <c r="CI55" i="8"/>
  <c r="CG55" i="8"/>
  <c r="CF55" i="8"/>
  <c r="CE55" i="8"/>
  <c r="CD55" i="8"/>
  <c r="CC55" i="8"/>
  <c r="CB55" i="8"/>
  <c r="CA55" i="8"/>
  <c r="BZ55" i="8"/>
  <c r="BY55" i="8"/>
  <c r="BX55" i="8"/>
  <c r="BW55" i="8"/>
  <c r="BV55" i="8"/>
  <c r="BU55" i="8"/>
  <c r="BT55" i="8"/>
  <c r="BS55" i="8"/>
  <c r="BR55" i="8"/>
  <c r="BQ55" i="8"/>
  <c r="BP55" i="8"/>
  <c r="BO55" i="8"/>
  <c r="BN55" i="8"/>
  <c r="BM55" i="8"/>
  <c r="BL55" i="8"/>
  <c r="BK55" i="8"/>
  <c r="BJ55" i="8"/>
  <c r="AS55" i="8"/>
  <c r="AR55" i="8"/>
  <c r="AP55" i="8"/>
  <c r="AO55" i="8"/>
  <c r="N55" i="8"/>
  <c r="CX54" i="8"/>
  <c r="CW54" i="8"/>
  <c r="CT54" i="8"/>
  <c r="CS54" i="8"/>
  <c r="CQ54" i="8"/>
  <c r="CP54" i="8"/>
  <c r="CO54" i="8"/>
  <c r="CL54" i="8"/>
  <c r="CM54" i="8" s="1"/>
  <c r="CJ54" i="8"/>
  <c r="CI54" i="8"/>
  <c r="CG54" i="8"/>
  <c r="CF54" i="8"/>
  <c r="CE54" i="8"/>
  <c r="CD54" i="8"/>
  <c r="CC54" i="8"/>
  <c r="CB54" i="8"/>
  <c r="CA54" i="8"/>
  <c r="BZ54" i="8"/>
  <c r="BY54" i="8"/>
  <c r="BX54" i="8"/>
  <c r="BW54" i="8"/>
  <c r="BV54" i="8"/>
  <c r="BU54" i="8"/>
  <c r="BT54" i="8"/>
  <c r="BS54" i="8"/>
  <c r="BR54" i="8"/>
  <c r="BQ54" i="8"/>
  <c r="BP54" i="8"/>
  <c r="BO54" i="8"/>
  <c r="BN54" i="8"/>
  <c r="BM54" i="8"/>
  <c r="BL54" i="8"/>
  <c r="BK54" i="8"/>
  <c r="BJ54" i="8"/>
  <c r="AS54" i="8"/>
  <c r="AR54" i="8"/>
  <c r="AP54" i="8"/>
  <c r="AO54" i="8"/>
  <c r="N54" i="8"/>
  <c r="CX53" i="8"/>
  <c r="CW53" i="8"/>
  <c r="CS53" i="8"/>
  <c r="CT53" i="8" s="1"/>
  <c r="CQ53" i="8"/>
  <c r="CP53" i="8"/>
  <c r="CO53" i="8"/>
  <c r="CM53" i="8"/>
  <c r="CL53" i="8"/>
  <c r="CJ53" i="8"/>
  <c r="CI53" i="8"/>
  <c r="CG53" i="8"/>
  <c r="CF53" i="8"/>
  <c r="CE53" i="8"/>
  <c r="CD53" i="8"/>
  <c r="CC53" i="8"/>
  <c r="CB53" i="8"/>
  <c r="CA53" i="8"/>
  <c r="BZ53" i="8"/>
  <c r="BY53" i="8"/>
  <c r="BX53" i="8"/>
  <c r="BW53" i="8"/>
  <c r="BV53" i="8"/>
  <c r="BU53" i="8"/>
  <c r="BT53" i="8"/>
  <c r="BS53" i="8"/>
  <c r="BR53" i="8"/>
  <c r="BQ53" i="8"/>
  <c r="BP53" i="8"/>
  <c r="BO53" i="8"/>
  <c r="BN53" i="8"/>
  <c r="BM53" i="8"/>
  <c r="BL53" i="8"/>
  <c r="BK53" i="8"/>
  <c r="BJ53" i="8"/>
  <c r="AS53" i="8"/>
  <c r="AR53" i="8"/>
  <c r="AP53" i="8"/>
  <c r="AO53" i="8"/>
  <c r="N53" i="8"/>
  <c r="CW52" i="8"/>
  <c r="CX52" i="8" s="1"/>
  <c r="CS52" i="8"/>
  <c r="CT52" i="8" s="1"/>
  <c r="CQ52" i="8"/>
  <c r="CP52" i="8"/>
  <c r="CO52" i="8"/>
  <c r="CL52" i="8"/>
  <c r="CM52" i="8" s="1"/>
  <c r="CJ52" i="8"/>
  <c r="CI52" i="8"/>
  <c r="CG52" i="8"/>
  <c r="CF52" i="8"/>
  <c r="CE52" i="8"/>
  <c r="CD52" i="8"/>
  <c r="CC52" i="8"/>
  <c r="CB52" i="8"/>
  <c r="CA52" i="8"/>
  <c r="BZ52" i="8"/>
  <c r="BY52" i="8"/>
  <c r="BX52" i="8"/>
  <c r="BW52" i="8"/>
  <c r="BV52" i="8"/>
  <c r="BU52" i="8"/>
  <c r="BT52" i="8"/>
  <c r="BS52" i="8"/>
  <c r="BR52" i="8"/>
  <c r="BQ52" i="8"/>
  <c r="BP52" i="8"/>
  <c r="BO52" i="8"/>
  <c r="BN52" i="8"/>
  <c r="BM52" i="8"/>
  <c r="BL52" i="8"/>
  <c r="BK52" i="8"/>
  <c r="BJ52" i="8"/>
  <c r="AS52" i="8"/>
  <c r="AR52" i="8"/>
  <c r="AP52" i="8"/>
  <c r="AO52" i="8"/>
  <c r="N52" i="8"/>
  <c r="CX51" i="8"/>
  <c r="CW51" i="8"/>
  <c r="CS51" i="8"/>
  <c r="CQ51" i="8"/>
  <c r="CP51" i="8"/>
  <c r="CO51" i="8"/>
  <c r="CM51" i="8"/>
  <c r="CL51" i="8"/>
  <c r="CJ51" i="8"/>
  <c r="CI51" i="8"/>
  <c r="CG51" i="8"/>
  <c r="CF51" i="8"/>
  <c r="CE51" i="8"/>
  <c r="CD51" i="8"/>
  <c r="CC51" i="8"/>
  <c r="CB51" i="8"/>
  <c r="CA51" i="8"/>
  <c r="BZ51" i="8"/>
  <c r="BY51" i="8"/>
  <c r="BX51" i="8"/>
  <c r="BW51" i="8"/>
  <c r="BV51" i="8"/>
  <c r="BU51" i="8"/>
  <c r="BT51" i="8"/>
  <c r="BS51" i="8"/>
  <c r="BR51" i="8"/>
  <c r="BQ51" i="8"/>
  <c r="BP51" i="8"/>
  <c r="BO51" i="8"/>
  <c r="BN51" i="8"/>
  <c r="BM51" i="8"/>
  <c r="BL51" i="8"/>
  <c r="BK51" i="8"/>
  <c r="BJ51" i="8"/>
  <c r="AS51" i="8"/>
  <c r="AR51" i="8"/>
  <c r="AP51" i="8"/>
  <c r="AO51" i="8"/>
  <c r="N51" i="8"/>
  <c r="CW50" i="8"/>
  <c r="CX50" i="8" s="1"/>
  <c r="CS50" i="8"/>
  <c r="CQ50" i="8"/>
  <c r="CP50" i="8"/>
  <c r="CO50" i="8"/>
  <c r="CL50" i="8"/>
  <c r="CM50" i="8" s="1"/>
  <c r="CJ50" i="8"/>
  <c r="CI50" i="8"/>
  <c r="CG50" i="8"/>
  <c r="CF50" i="8"/>
  <c r="CE50" i="8"/>
  <c r="CD50" i="8"/>
  <c r="CC50" i="8"/>
  <c r="CB50" i="8"/>
  <c r="CA50" i="8"/>
  <c r="BZ50" i="8"/>
  <c r="BY50" i="8"/>
  <c r="BX50" i="8"/>
  <c r="BW50" i="8"/>
  <c r="BV50" i="8"/>
  <c r="BU50" i="8"/>
  <c r="BT50" i="8"/>
  <c r="BS50" i="8"/>
  <c r="BR50" i="8"/>
  <c r="BQ50" i="8"/>
  <c r="BP50" i="8"/>
  <c r="BO50" i="8"/>
  <c r="BN50" i="8"/>
  <c r="BM50" i="8"/>
  <c r="BL50" i="8"/>
  <c r="BK50" i="8"/>
  <c r="BJ50" i="8"/>
  <c r="AS50" i="8"/>
  <c r="AR50" i="8"/>
  <c r="AP50" i="8"/>
  <c r="AO50" i="8"/>
  <c r="N50" i="8"/>
  <c r="CX49" i="8"/>
  <c r="CW49" i="8"/>
  <c r="CT49" i="8"/>
  <c r="CU49" i="8" s="1"/>
  <c r="CS49" i="8"/>
  <c r="CQ49" i="8"/>
  <c r="CP49" i="8"/>
  <c r="CO49" i="8"/>
  <c r="CL49" i="8"/>
  <c r="CM49" i="8" s="1"/>
  <c r="CJ49" i="8"/>
  <c r="CI49" i="8"/>
  <c r="CG49" i="8"/>
  <c r="CF49" i="8"/>
  <c r="CE49" i="8"/>
  <c r="CD49" i="8"/>
  <c r="CC49" i="8"/>
  <c r="CB49" i="8"/>
  <c r="CA49" i="8"/>
  <c r="BZ49" i="8"/>
  <c r="BY49" i="8"/>
  <c r="BX49" i="8"/>
  <c r="BW49" i="8"/>
  <c r="BV49" i="8"/>
  <c r="BU49" i="8"/>
  <c r="BT49" i="8"/>
  <c r="BS49" i="8"/>
  <c r="BR49" i="8"/>
  <c r="BQ49" i="8"/>
  <c r="BP49" i="8"/>
  <c r="BO49" i="8"/>
  <c r="BN49" i="8"/>
  <c r="BM49" i="8"/>
  <c r="BL49" i="8"/>
  <c r="BK49" i="8"/>
  <c r="BJ49" i="8"/>
  <c r="AS49" i="8"/>
  <c r="AR49" i="8"/>
  <c r="AP49" i="8"/>
  <c r="AO49" i="8"/>
  <c r="N49" i="8"/>
  <c r="CW48" i="8"/>
  <c r="CX48" i="8" s="1"/>
  <c r="CS48" i="8"/>
  <c r="CT48" i="8" s="1"/>
  <c r="CU48" i="8" s="1"/>
  <c r="CQ48" i="8"/>
  <c r="CP48" i="8"/>
  <c r="CO48" i="8"/>
  <c r="CL48" i="8"/>
  <c r="CM48" i="8" s="1"/>
  <c r="CJ48" i="8"/>
  <c r="CI48" i="8"/>
  <c r="CG48" i="8"/>
  <c r="CF48" i="8"/>
  <c r="CE48" i="8"/>
  <c r="CD48" i="8"/>
  <c r="CC48" i="8"/>
  <c r="CB48" i="8"/>
  <c r="CA48" i="8"/>
  <c r="BZ48" i="8"/>
  <c r="BY48" i="8"/>
  <c r="BX48" i="8"/>
  <c r="BW48" i="8"/>
  <c r="BV48" i="8"/>
  <c r="BU48" i="8"/>
  <c r="BT48" i="8"/>
  <c r="BS48" i="8"/>
  <c r="BR48" i="8"/>
  <c r="BQ48" i="8"/>
  <c r="BP48" i="8"/>
  <c r="BO48" i="8"/>
  <c r="BN48" i="8"/>
  <c r="BM48" i="8"/>
  <c r="BL48" i="8"/>
  <c r="BK48" i="8"/>
  <c r="BJ48" i="8"/>
  <c r="AS48" i="8"/>
  <c r="AR48" i="8"/>
  <c r="AP48" i="8"/>
  <c r="AO48" i="8"/>
  <c r="N48" i="8"/>
  <c r="CW47" i="8"/>
  <c r="CX47" i="8" s="1"/>
  <c r="CS47" i="8"/>
  <c r="CQ47" i="8"/>
  <c r="CP47" i="8"/>
  <c r="CO47" i="8"/>
  <c r="CL47" i="8"/>
  <c r="CM47" i="8" s="1"/>
  <c r="CJ47" i="8"/>
  <c r="CI47" i="8"/>
  <c r="CG47" i="8"/>
  <c r="CF47" i="8"/>
  <c r="CE47" i="8"/>
  <c r="CD47" i="8"/>
  <c r="CC47" i="8"/>
  <c r="CB47" i="8"/>
  <c r="CA47" i="8"/>
  <c r="BZ47" i="8"/>
  <c r="BY47" i="8"/>
  <c r="BX47" i="8"/>
  <c r="BW47" i="8"/>
  <c r="BV47" i="8"/>
  <c r="BU47" i="8"/>
  <c r="BT47" i="8"/>
  <c r="BS47" i="8"/>
  <c r="BR47" i="8"/>
  <c r="BQ47" i="8"/>
  <c r="BP47" i="8"/>
  <c r="BO47" i="8"/>
  <c r="BN47" i="8"/>
  <c r="BM47" i="8"/>
  <c r="BL47" i="8"/>
  <c r="BK47" i="8"/>
  <c r="BJ47" i="8"/>
  <c r="AS47" i="8"/>
  <c r="AR47" i="8"/>
  <c r="AP47" i="8"/>
  <c r="AO47" i="8"/>
  <c r="N47" i="8"/>
  <c r="CX46" i="8"/>
  <c r="CW46" i="8"/>
  <c r="CS46" i="8"/>
  <c r="CQ46" i="8"/>
  <c r="CP46" i="8"/>
  <c r="CO46" i="8"/>
  <c r="CM46" i="8"/>
  <c r="CL46" i="8"/>
  <c r="CJ46" i="8"/>
  <c r="CI46" i="8"/>
  <c r="CG46" i="8"/>
  <c r="CF46" i="8"/>
  <c r="CE46" i="8"/>
  <c r="CD46" i="8"/>
  <c r="CC46" i="8"/>
  <c r="CB46" i="8"/>
  <c r="CA46" i="8"/>
  <c r="BZ46" i="8"/>
  <c r="BY46" i="8"/>
  <c r="BX46" i="8"/>
  <c r="BW46" i="8"/>
  <c r="BV46" i="8"/>
  <c r="BU46" i="8"/>
  <c r="BT46" i="8"/>
  <c r="BS46" i="8"/>
  <c r="BR46" i="8"/>
  <c r="BQ46" i="8"/>
  <c r="BP46" i="8"/>
  <c r="BO46" i="8"/>
  <c r="BN46" i="8"/>
  <c r="BM46" i="8"/>
  <c r="BL46" i="8"/>
  <c r="BK46" i="8"/>
  <c r="BJ46" i="8"/>
  <c r="AS46" i="8"/>
  <c r="AR46" i="8"/>
  <c r="AP46" i="8"/>
  <c r="AO46" i="8"/>
  <c r="N46" i="8"/>
  <c r="CW45" i="8"/>
  <c r="CX45" i="8" s="1"/>
  <c r="CS45" i="8"/>
  <c r="CT45" i="8" s="1"/>
  <c r="CQ45" i="8"/>
  <c r="CP45" i="8"/>
  <c r="CO45" i="8"/>
  <c r="CL45" i="8"/>
  <c r="CM45" i="8" s="1"/>
  <c r="CJ45" i="8"/>
  <c r="CI45" i="8"/>
  <c r="CG45" i="8"/>
  <c r="CF45" i="8"/>
  <c r="CE45" i="8"/>
  <c r="CD45" i="8"/>
  <c r="CC45" i="8"/>
  <c r="CB45" i="8"/>
  <c r="CA45" i="8"/>
  <c r="BZ45" i="8"/>
  <c r="BY45" i="8"/>
  <c r="BX45" i="8"/>
  <c r="BW45" i="8"/>
  <c r="BV45" i="8"/>
  <c r="BU45" i="8"/>
  <c r="BT45" i="8"/>
  <c r="BS45" i="8"/>
  <c r="BR45" i="8"/>
  <c r="BQ45" i="8"/>
  <c r="BP45" i="8"/>
  <c r="BO45" i="8"/>
  <c r="BN45" i="8"/>
  <c r="BM45" i="8"/>
  <c r="BL45" i="8"/>
  <c r="BK45" i="8"/>
  <c r="BJ45" i="8"/>
  <c r="AS45" i="8"/>
  <c r="AR45" i="8"/>
  <c r="AP45" i="8"/>
  <c r="AO45" i="8"/>
  <c r="N45" i="8"/>
  <c r="CW44" i="8"/>
  <c r="CX44" i="8" s="1"/>
  <c r="CS44" i="8"/>
  <c r="CT44" i="8" s="1"/>
  <c r="CU44" i="8" s="1"/>
  <c r="CQ44" i="8"/>
  <c r="CP44" i="8"/>
  <c r="CO44" i="8"/>
  <c r="CL44" i="8"/>
  <c r="CM44" i="8" s="1"/>
  <c r="CJ44" i="8"/>
  <c r="CI44" i="8"/>
  <c r="CG44" i="8"/>
  <c r="CF44" i="8"/>
  <c r="CE44" i="8"/>
  <c r="CD44" i="8"/>
  <c r="CC44" i="8"/>
  <c r="CB44" i="8"/>
  <c r="CA44" i="8"/>
  <c r="BZ44" i="8"/>
  <c r="BY44" i="8"/>
  <c r="BX44" i="8"/>
  <c r="BW44" i="8"/>
  <c r="BV44" i="8"/>
  <c r="BU44" i="8"/>
  <c r="BT44" i="8"/>
  <c r="BS44" i="8"/>
  <c r="BR44" i="8"/>
  <c r="BQ44" i="8"/>
  <c r="BP44" i="8"/>
  <c r="BO44" i="8"/>
  <c r="BN44" i="8"/>
  <c r="BM44" i="8"/>
  <c r="BL44" i="8"/>
  <c r="BK44" i="8"/>
  <c r="BJ44" i="8"/>
  <c r="AS44" i="8"/>
  <c r="AR44" i="8"/>
  <c r="AP44" i="8"/>
  <c r="AO44" i="8"/>
  <c r="N44" i="8"/>
  <c r="CW43" i="8"/>
  <c r="CX43" i="8" s="1"/>
  <c r="CS43" i="8"/>
  <c r="CQ43" i="8"/>
  <c r="CP43" i="8"/>
  <c r="CO43" i="8"/>
  <c r="CL43" i="8"/>
  <c r="CM43" i="8" s="1"/>
  <c r="CJ43" i="8"/>
  <c r="CI43" i="8"/>
  <c r="CG43" i="8"/>
  <c r="CF43" i="8"/>
  <c r="CE43" i="8"/>
  <c r="CD43" i="8"/>
  <c r="CC43" i="8"/>
  <c r="CB43" i="8"/>
  <c r="CA43" i="8"/>
  <c r="BZ43" i="8"/>
  <c r="BY43" i="8"/>
  <c r="BX43" i="8"/>
  <c r="BW43" i="8"/>
  <c r="BV43" i="8"/>
  <c r="BU43" i="8"/>
  <c r="BT43" i="8"/>
  <c r="BS43" i="8"/>
  <c r="BR43" i="8"/>
  <c r="BQ43" i="8"/>
  <c r="BP43" i="8"/>
  <c r="BO43" i="8"/>
  <c r="BN43" i="8"/>
  <c r="BM43" i="8"/>
  <c r="BL43" i="8"/>
  <c r="BK43" i="8"/>
  <c r="BJ43" i="8"/>
  <c r="AS43" i="8"/>
  <c r="AR43" i="8"/>
  <c r="AP43" i="8"/>
  <c r="AO43" i="8"/>
  <c r="N43" i="8"/>
  <c r="CX42" i="8"/>
  <c r="CW42" i="8"/>
  <c r="CS42" i="8"/>
  <c r="CQ42" i="8"/>
  <c r="CP42" i="8"/>
  <c r="CO42" i="8"/>
  <c r="CM42" i="8"/>
  <c r="CL42" i="8"/>
  <c r="CJ42" i="8"/>
  <c r="CI42" i="8"/>
  <c r="CG42" i="8"/>
  <c r="CF42" i="8"/>
  <c r="CE42" i="8"/>
  <c r="CD42" i="8"/>
  <c r="CC42" i="8"/>
  <c r="CB42" i="8"/>
  <c r="CA42" i="8"/>
  <c r="BZ42" i="8"/>
  <c r="BY42" i="8"/>
  <c r="BX42" i="8"/>
  <c r="BW42" i="8"/>
  <c r="BV42" i="8"/>
  <c r="BU42" i="8"/>
  <c r="BT42" i="8"/>
  <c r="BS42" i="8"/>
  <c r="BR42" i="8"/>
  <c r="BQ42" i="8"/>
  <c r="BP42" i="8"/>
  <c r="BO42" i="8"/>
  <c r="BN42" i="8"/>
  <c r="BM42" i="8"/>
  <c r="BL42" i="8"/>
  <c r="BK42" i="8"/>
  <c r="BJ42" i="8"/>
  <c r="AS42" i="8"/>
  <c r="AR42" i="8"/>
  <c r="AP42" i="8"/>
  <c r="AO42" i="8"/>
  <c r="N42" i="8"/>
  <c r="CW41" i="8"/>
  <c r="CX41" i="8" s="1"/>
  <c r="CS41" i="8"/>
  <c r="CT41" i="8" s="1"/>
  <c r="CU41" i="8" s="1"/>
  <c r="CQ41" i="8"/>
  <c r="CP41" i="8"/>
  <c r="CO41" i="8"/>
  <c r="CL41" i="8"/>
  <c r="CM41" i="8" s="1"/>
  <c r="CJ41" i="8"/>
  <c r="CI41" i="8"/>
  <c r="CG41" i="8"/>
  <c r="CF41" i="8"/>
  <c r="CE41" i="8"/>
  <c r="CD41" i="8"/>
  <c r="CC41" i="8"/>
  <c r="CB41" i="8"/>
  <c r="CA41" i="8"/>
  <c r="BZ41" i="8"/>
  <c r="BY41" i="8"/>
  <c r="BX41" i="8"/>
  <c r="BW41" i="8"/>
  <c r="BV41" i="8"/>
  <c r="BU41" i="8"/>
  <c r="BT41" i="8"/>
  <c r="BS41" i="8"/>
  <c r="BR41" i="8"/>
  <c r="BQ41" i="8"/>
  <c r="BP41" i="8"/>
  <c r="BO41" i="8"/>
  <c r="BN41" i="8"/>
  <c r="BM41" i="8"/>
  <c r="BL41" i="8"/>
  <c r="BK41" i="8"/>
  <c r="BJ41" i="8"/>
  <c r="AS41" i="8"/>
  <c r="AR41" i="8"/>
  <c r="AP41" i="8"/>
  <c r="AO41" i="8"/>
  <c r="N41" i="8"/>
  <c r="CW40" i="8"/>
  <c r="CX40" i="8" s="1"/>
  <c r="CS40" i="8"/>
  <c r="CT40" i="8" s="1"/>
  <c r="CU40" i="8" s="1"/>
  <c r="CQ40" i="8"/>
  <c r="CP40" i="8"/>
  <c r="CO40" i="8"/>
  <c r="CL40" i="8"/>
  <c r="CM40" i="8" s="1"/>
  <c r="CJ40" i="8"/>
  <c r="CI40" i="8"/>
  <c r="CG40" i="8"/>
  <c r="CF40" i="8"/>
  <c r="CE40" i="8"/>
  <c r="CD40" i="8"/>
  <c r="CC40" i="8"/>
  <c r="CB40" i="8"/>
  <c r="CA40" i="8"/>
  <c r="BZ40" i="8"/>
  <c r="BY40" i="8"/>
  <c r="BX40" i="8"/>
  <c r="BW40" i="8"/>
  <c r="BV40" i="8"/>
  <c r="BU40" i="8"/>
  <c r="BT40" i="8"/>
  <c r="BS40" i="8"/>
  <c r="BR40" i="8"/>
  <c r="BQ40" i="8"/>
  <c r="BP40" i="8"/>
  <c r="BO40" i="8"/>
  <c r="BN40" i="8"/>
  <c r="BM40" i="8"/>
  <c r="BL40" i="8"/>
  <c r="BK40" i="8"/>
  <c r="BJ40" i="8"/>
  <c r="AS40" i="8"/>
  <c r="AR40" i="8"/>
  <c r="AP40" i="8"/>
  <c r="AO40" i="8"/>
  <c r="N40" i="8"/>
  <c r="CW39" i="8"/>
  <c r="CX39" i="8" s="1"/>
  <c r="CS39" i="8"/>
  <c r="CQ39" i="8"/>
  <c r="CP39" i="8"/>
  <c r="CO39" i="8"/>
  <c r="CL39" i="8"/>
  <c r="CM39" i="8" s="1"/>
  <c r="CJ39" i="8"/>
  <c r="CI39" i="8"/>
  <c r="CG39" i="8"/>
  <c r="CF39" i="8"/>
  <c r="CE39" i="8"/>
  <c r="CD39" i="8"/>
  <c r="CC39" i="8"/>
  <c r="CB39" i="8"/>
  <c r="CA39" i="8"/>
  <c r="BZ39" i="8"/>
  <c r="BY39" i="8"/>
  <c r="BX39" i="8"/>
  <c r="BW39" i="8"/>
  <c r="BV39" i="8"/>
  <c r="BU39" i="8"/>
  <c r="BT39" i="8"/>
  <c r="BS39" i="8"/>
  <c r="BR39" i="8"/>
  <c r="BQ39" i="8"/>
  <c r="BP39" i="8"/>
  <c r="BO39" i="8"/>
  <c r="BN39" i="8"/>
  <c r="BM39" i="8"/>
  <c r="BL39" i="8"/>
  <c r="BK39" i="8"/>
  <c r="BJ39" i="8"/>
  <c r="AS39" i="8"/>
  <c r="AR39" i="8"/>
  <c r="AP39" i="8"/>
  <c r="AO39" i="8"/>
  <c r="N39" i="8"/>
  <c r="CX38" i="8"/>
  <c r="CW38" i="8"/>
  <c r="CS38" i="8"/>
  <c r="CQ38" i="8"/>
  <c r="CP38" i="8"/>
  <c r="CO38" i="8"/>
  <c r="CM38" i="8"/>
  <c r="CL38" i="8"/>
  <c r="CJ38" i="8"/>
  <c r="CI38" i="8"/>
  <c r="CG38" i="8"/>
  <c r="CF38" i="8"/>
  <c r="CE38" i="8"/>
  <c r="CD38" i="8"/>
  <c r="CC38" i="8"/>
  <c r="CB38" i="8"/>
  <c r="CA38" i="8"/>
  <c r="BZ38" i="8"/>
  <c r="BY38" i="8"/>
  <c r="BX38" i="8"/>
  <c r="BW38" i="8"/>
  <c r="BV38" i="8"/>
  <c r="BU38" i="8"/>
  <c r="BT38" i="8"/>
  <c r="BS38" i="8"/>
  <c r="BR38" i="8"/>
  <c r="BQ38" i="8"/>
  <c r="BP38" i="8"/>
  <c r="BO38" i="8"/>
  <c r="BN38" i="8"/>
  <c r="BM38" i="8"/>
  <c r="BL38" i="8"/>
  <c r="BK38" i="8"/>
  <c r="BJ38" i="8"/>
  <c r="AS38" i="8"/>
  <c r="AR38" i="8"/>
  <c r="AP38" i="8"/>
  <c r="AO38" i="8"/>
  <c r="N38" i="8"/>
  <c r="CW37" i="8"/>
  <c r="CX37" i="8" s="1"/>
  <c r="CS37" i="8"/>
  <c r="CT37" i="8" s="1"/>
  <c r="CQ37" i="8"/>
  <c r="CP37" i="8"/>
  <c r="CO37" i="8"/>
  <c r="CL37" i="8"/>
  <c r="CM37" i="8" s="1"/>
  <c r="CJ37" i="8"/>
  <c r="CI37" i="8"/>
  <c r="CG37" i="8"/>
  <c r="CF37" i="8"/>
  <c r="CE37" i="8"/>
  <c r="CD37" i="8"/>
  <c r="CC37" i="8"/>
  <c r="CB37" i="8"/>
  <c r="CA37" i="8"/>
  <c r="BZ37" i="8"/>
  <c r="BY37" i="8"/>
  <c r="BX37" i="8"/>
  <c r="BW37" i="8"/>
  <c r="BV37" i="8"/>
  <c r="BU37" i="8"/>
  <c r="BT37" i="8"/>
  <c r="BS37" i="8"/>
  <c r="BR37" i="8"/>
  <c r="BQ37" i="8"/>
  <c r="BP37" i="8"/>
  <c r="BO37" i="8"/>
  <c r="BN37" i="8"/>
  <c r="BM37" i="8"/>
  <c r="BL37" i="8"/>
  <c r="BK37" i="8"/>
  <c r="BJ37" i="8"/>
  <c r="AS37" i="8"/>
  <c r="AR37" i="8"/>
  <c r="AP37" i="8"/>
  <c r="AO37" i="8"/>
  <c r="N37" i="8"/>
  <c r="CW36" i="8"/>
  <c r="CX36" i="8" s="1"/>
  <c r="CS36" i="8"/>
  <c r="CT36" i="8" s="1"/>
  <c r="CU36" i="8" s="1"/>
  <c r="CQ36" i="8"/>
  <c r="CP36" i="8"/>
  <c r="CO36" i="8"/>
  <c r="CL36" i="8"/>
  <c r="CM36" i="8" s="1"/>
  <c r="CJ36" i="8"/>
  <c r="CI36" i="8"/>
  <c r="CG36" i="8"/>
  <c r="CF36" i="8"/>
  <c r="CE36" i="8"/>
  <c r="CD36" i="8"/>
  <c r="CC36" i="8"/>
  <c r="CB36" i="8"/>
  <c r="CA36" i="8"/>
  <c r="BZ36" i="8"/>
  <c r="BY36" i="8"/>
  <c r="BX36" i="8"/>
  <c r="BW36" i="8"/>
  <c r="BV36" i="8"/>
  <c r="BU36" i="8"/>
  <c r="BT36" i="8"/>
  <c r="BS36" i="8"/>
  <c r="BR36" i="8"/>
  <c r="BQ36" i="8"/>
  <c r="BP36" i="8"/>
  <c r="BO36" i="8"/>
  <c r="BN36" i="8"/>
  <c r="BM36" i="8"/>
  <c r="BL36" i="8"/>
  <c r="BK36" i="8"/>
  <c r="BJ36" i="8"/>
  <c r="AS36" i="8"/>
  <c r="AR36" i="8"/>
  <c r="AP36" i="8"/>
  <c r="AO36" i="8"/>
  <c r="N36" i="8"/>
  <c r="CW35" i="8"/>
  <c r="CX35" i="8" s="1"/>
  <c r="CS35" i="8"/>
  <c r="CQ35" i="8"/>
  <c r="CP35" i="8"/>
  <c r="CO35" i="8"/>
  <c r="CL35" i="8"/>
  <c r="CM35" i="8" s="1"/>
  <c r="CJ35" i="8"/>
  <c r="CI35" i="8"/>
  <c r="CG35" i="8"/>
  <c r="CF35" i="8"/>
  <c r="CE35" i="8"/>
  <c r="CD35" i="8"/>
  <c r="CC35" i="8"/>
  <c r="CB35" i="8"/>
  <c r="CA35" i="8"/>
  <c r="BZ35" i="8"/>
  <c r="BY35" i="8"/>
  <c r="BX35" i="8"/>
  <c r="BW35" i="8"/>
  <c r="BV35" i="8"/>
  <c r="BU35" i="8"/>
  <c r="BT35" i="8"/>
  <c r="BS35" i="8"/>
  <c r="BR35" i="8"/>
  <c r="BQ35" i="8"/>
  <c r="BP35" i="8"/>
  <c r="BO35" i="8"/>
  <c r="BN35" i="8"/>
  <c r="BM35" i="8"/>
  <c r="BL35" i="8"/>
  <c r="BK35" i="8"/>
  <c r="BJ35" i="8"/>
  <c r="AS35" i="8"/>
  <c r="AR35" i="8"/>
  <c r="AP35" i="8"/>
  <c r="AO35" i="8"/>
  <c r="N35" i="8"/>
  <c r="CX34" i="8"/>
  <c r="CW34" i="8"/>
  <c r="CS34" i="8"/>
  <c r="CQ34" i="8"/>
  <c r="CP34" i="8"/>
  <c r="CO34" i="8"/>
  <c r="CM34" i="8"/>
  <c r="CL34" i="8"/>
  <c r="CJ34" i="8"/>
  <c r="CI34" i="8"/>
  <c r="CG34" i="8"/>
  <c r="CF34" i="8"/>
  <c r="CE34" i="8"/>
  <c r="CD34" i="8"/>
  <c r="CC34" i="8"/>
  <c r="CB34" i="8"/>
  <c r="CA34" i="8"/>
  <c r="BZ34" i="8"/>
  <c r="BY34" i="8"/>
  <c r="BX34" i="8"/>
  <c r="BW34" i="8"/>
  <c r="BV34" i="8"/>
  <c r="BU34" i="8"/>
  <c r="BT34" i="8"/>
  <c r="BS34" i="8"/>
  <c r="BR34" i="8"/>
  <c r="BQ34" i="8"/>
  <c r="BP34" i="8"/>
  <c r="BO34" i="8"/>
  <c r="BN34" i="8"/>
  <c r="BM34" i="8"/>
  <c r="BL34" i="8"/>
  <c r="BK34" i="8"/>
  <c r="BJ34" i="8"/>
  <c r="AS34" i="8"/>
  <c r="AR34" i="8"/>
  <c r="AP34" i="8"/>
  <c r="AO34" i="8"/>
  <c r="N34" i="8"/>
  <c r="CW33" i="8"/>
  <c r="CX33" i="8" s="1"/>
  <c r="CS33" i="8"/>
  <c r="CT33" i="8" s="1"/>
  <c r="CU33" i="8" s="1"/>
  <c r="CQ33" i="8"/>
  <c r="CP33" i="8"/>
  <c r="CO33" i="8"/>
  <c r="CL33" i="8"/>
  <c r="CM33" i="8" s="1"/>
  <c r="CJ33" i="8"/>
  <c r="CI33" i="8"/>
  <c r="CG33" i="8"/>
  <c r="CF33" i="8"/>
  <c r="CE33" i="8"/>
  <c r="CD33" i="8"/>
  <c r="CC33" i="8"/>
  <c r="CB33" i="8"/>
  <c r="CA33" i="8"/>
  <c r="BZ33" i="8"/>
  <c r="BY33" i="8"/>
  <c r="BX33" i="8"/>
  <c r="BW33" i="8"/>
  <c r="BV33" i="8"/>
  <c r="BU33" i="8"/>
  <c r="BT33" i="8"/>
  <c r="BS33" i="8"/>
  <c r="BR33" i="8"/>
  <c r="BQ33" i="8"/>
  <c r="BP33" i="8"/>
  <c r="BO33" i="8"/>
  <c r="BN33" i="8"/>
  <c r="BM33" i="8"/>
  <c r="BL33" i="8"/>
  <c r="BK33" i="8"/>
  <c r="BJ33" i="8"/>
  <c r="AS33" i="8"/>
  <c r="AR33" i="8"/>
  <c r="AP33" i="8"/>
  <c r="AO33" i="8"/>
  <c r="N33" i="8"/>
  <c r="CW32" i="8"/>
  <c r="CX32" i="8" s="1"/>
  <c r="CS32" i="8"/>
  <c r="CT32" i="8" s="1"/>
  <c r="CU32" i="8" s="1"/>
  <c r="CQ32" i="8"/>
  <c r="CP32" i="8"/>
  <c r="CO32" i="8"/>
  <c r="CL32" i="8"/>
  <c r="CM32" i="8" s="1"/>
  <c r="CJ32" i="8"/>
  <c r="CI32" i="8"/>
  <c r="CG32" i="8"/>
  <c r="CF32" i="8"/>
  <c r="CE32" i="8"/>
  <c r="CD32" i="8"/>
  <c r="CC32" i="8"/>
  <c r="CB32" i="8"/>
  <c r="CA32" i="8"/>
  <c r="BZ32" i="8"/>
  <c r="BY32" i="8"/>
  <c r="BX32" i="8"/>
  <c r="BW32" i="8"/>
  <c r="BV32" i="8"/>
  <c r="BU32" i="8"/>
  <c r="BT32" i="8"/>
  <c r="BS32" i="8"/>
  <c r="BR32" i="8"/>
  <c r="BQ32" i="8"/>
  <c r="BP32" i="8"/>
  <c r="BO32" i="8"/>
  <c r="BN32" i="8"/>
  <c r="BM32" i="8"/>
  <c r="BL32" i="8"/>
  <c r="BK32" i="8"/>
  <c r="BJ32" i="8"/>
  <c r="AS32" i="8"/>
  <c r="AR32" i="8"/>
  <c r="AP32" i="8"/>
  <c r="AO32" i="8"/>
  <c r="N32" i="8"/>
  <c r="CW31" i="8"/>
  <c r="CX31" i="8" s="1"/>
  <c r="CS31" i="8"/>
  <c r="CQ31" i="8"/>
  <c r="CP31" i="8"/>
  <c r="CO31" i="8"/>
  <c r="CL31" i="8"/>
  <c r="CM31" i="8" s="1"/>
  <c r="CJ31" i="8"/>
  <c r="CI31" i="8"/>
  <c r="CG31" i="8"/>
  <c r="CF31" i="8"/>
  <c r="CE31" i="8"/>
  <c r="CD31" i="8"/>
  <c r="CC31" i="8"/>
  <c r="CB31" i="8"/>
  <c r="CA31" i="8"/>
  <c r="BZ31" i="8"/>
  <c r="BY31" i="8"/>
  <c r="BX31" i="8"/>
  <c r="BW31" i="8"/>
  <c r="BV31" i="8"/>
  <c r="BU31" i="8"/>
  <c r="BT31" i="8"/>
  <c r="BS31" i="8"/>
  <c r="BR31" i="8"/>
  <c r="BQ31" i="8"/>
  <c r="BP31" i="8"/>
  <c r="BO31" i="8"/>
  <c r="BN31" i="8"/>
  <c r="BM31" i="8"/>
  <c r="BL31" i="8"/>
  <c r="BK31" i="8"/>
  <c r="BJ31" i="8"/>
  <c r="AS31" i="8"/>
  <c r="AR31" i="8"/>
  <c r="AP31" i="8"/>
  <c r="AO31" i="8"/>
  <c r="N31" i="8"/>
  <c r="CX30" i="8"/>
  <c r="CW30" i="8"/>
  <c r="CS30" i="8"/>
  <c r="CQ30" i="8"/>
  <c r="CP30" i="8"/>
  <c r="CO30" i="8"/>
  <c r="CM30" i="8"/>
  <c r="CL30" i="8"/>
  <c r="CJ30" i="8"/>
  <c r="CI30" i="8"/>
  <c r="CG30" i="8"/>
  <c r="CF30" i="8"/>
  <c r="CE30" i="8"/>
  <c r="CD30" i="8"/>
  <c r="CC30" i="8"/>
  <c r="CB30" i="8"/>
  <c r="CA30" i="8"/>
  <c r="BZ30" i="8"/>
  <c r="BY30" i="8"/>
  <c r="BX30" i="8"/>
  <c r="BW30" i="8"/>
  <c r="BV30" i="8"/>
  <c r="BU30" i="8"/>
  <c r="BT30" i="8"/>
  <c r="BS30" i="8"/>
  <c r="BR30" i="8"/>
  <c r="BQ30" i="8"/>
  <c r="BP30" i="8"/>
  <c r="BO30" i="8"/>
  <c r="BN30" i="8"/>
  <c r="BM30" i="8"/>
  <c r="BL30" i="8"/>
  <c r="BK30" i="8"/>
  <c r="BJ30" i="8"/>
  <c r="AS30" i="8"/>
  <c r="AR30" i="8"/>
  <c r="AP30" i="8"/>
  <c r="AO30" i="8"/>
  <c r="N30" i="8"/>
  <c r="CW29" i="8"/>
  <c r="CX29" i="8" s="1"/>
  <c r="CS29" i="8"/>
  <c r="CT29" i="8" s="1"/>
  <c r="CQ29" i="8"/>
  <c r="CP29" i="8"/>
  <c r="CO29" i="8"/>
  <c r="CL29" i="8"/>
  <c r="CM29" i="8" s="1"/>
  <c r="CJ29" i="8"/>
  <c r="CI29" i="8"/>
  <c r="CG29" i="8"/>
  <c r="CF29" i="8"/>
  <c r="CE29" i="8"/>
  <c r="CD29" i="8"/>
  <c r="CC29" i="8"/>
  <c r="CB29" i="8"/>
  <c r="CA29" i="8"/>
  <c r="BZ29" i="8"/>
  <c r="BY29" i="8"/>
  <c r="BX29" i="8"/>
  <c r="BW29" i="8"/>
  <c r="BV29" i="8"/>
  <c r="BU29" i="8"/>
  <c r="BT29" i="8"/>
  <c r="BS29" i="8"/>
  <c r="BR29" i="8"/>
  <c r="BQ29" i="8"/>
  <c r="BP29" i="8"/>
  <c r="BO29" i="8"/>
  <c r="BN29" i="8"/>
  <c r="BM29" i="8"/>
  <c r="BL29" i="8"/>
  <c r="BK29" i="8"/>
  <c r="BJ29" i="8"/>
  <c r="AS29" i="8"/>
  <c r="AR29" i="8"/>
  <c r="AP29" i="8"/>
  <c r="AO29" i="8"/>
  <c r="N29" i="8"/>
  <c r="CW28" i="8"/>
  <c r="CX28" i="8" s="1"/>
  <c r="CT28" i="8"/>
  <c r="CU28" i="8" s="1"/>
  <c r="CS28" i="8"/>
  <c r="CQ28" i="8"/>
  <c r="CP28" i="8"/>
  <c r="CO28" i="8"/>
  <c r="CL28" i="8"/>
  <c r="CM28" i="8" s="1"/>
  <c r="CJ28" i="8"/>
  <c r="CI28" i="8"/>
  <c r="CG28" i="8"/>
  <c r="CF28" i="8"/>
  <c r="CE28" i="8"/>
  <c r="CD28" i="8"/>
  <c r="CC28" i="8"/>
  <c r="CB28" i="8"/>
  <c r="CA28" i="8"/>
  <c r="BZ28" i="8"/>
  <c r="BY28" i="8"/>
  <c r="BX28" i="8"/>
  <c r="BW28" i="8"/>
  <c r="BV28" i="8"/>
  <c r="BU28" i="8"/>
  <c r="BT28" i="8"/>
  <c r="BS28" i="8"/>
  <c r="BR28" i="8"/>
  <c r="BQ28" i="8"/>
  <c r="BP28" i="8"/>
  <c r="BO28" i="8"/>
  <c r="BN28" i="8"/>
  <c r="BM28" i="8"/>
  <c r="BL28" i="8"/>
  <c r="BK28" i="8"/>
  <c r="BJ28" i="8"/>
  <c r="AS28" i="8"/>
  <c r="AR28" i="8"/>
  <c r="AP28" i="8"/>
  <c r="AO28" i="8"/>
  <c r="N28" i="8"/>
  <c r="CW27" i="8"/>
  <c r="CX27" i="8" s="1"/>
  <c r="CS27" i="8"/>
  <c r="CQ27" i="8"/>
  <c r="CP27" i="8"/>
  <c r="CO27" i="8"/>
  <c r="CL27" i="8"/>
  <c r="CM27" i="8" s="1"/>
  <c r="CJ27" i="8"/>
  <c r="CI27" i="8"/>
  <c r="CG27" i="8"/>
  <c r="CF27" i="8"/>
  <c r="CE27" i="8"/>
  <c r="CD27" i="8"/>
  <c r="CC27" i="8"/>
  <c r="CB27" i="8"/>
  <c r="CA27" i="8"/>
  <c r="BZ27" i="8"/>
  <c r="BY27" i="8"/>
  <c r="BX27" i="8"/>
  <c r="BW27" i="8"/>
  <c r="BV27" i="8"/>
  <c r="BU27" i="8"/>
  <c r="BT27" i="8"/>
  <c r="BS27" i="8"/>
  <c r="BR27" i="8"/>
  <c r="BQ27" i="8"/>
  <c r="BP27" i="8"/>
  <c r="BO27" i="8"/>
  <c r="BN27" i="8"/>
  <c r="BM27" i="8"/>
  <c r="BL27" i="8"/>
  <c r="BK27" i="8"/>
  <c r="BJ27" i="8"/>
  <c r="AS27" i="8"/>
  <c r="AR27" i="8"/>
  <c r="AP27" i="8"/>
  <c r="AO27" i="8"/>
  <c r="N27" i="8"/>
  <c r="CW22" i="8"/>
  <c r="K16" i="8"/>
  <c r="I2" i="8"/>
  <c r="C70" i="7"/>
  <c r="C65" i="7"/>
  <c r="C25" i="7" s="1"/>
  <c r="C30" i="5" s="1"/>
  <c r="C62" i="7"/>
  <c r="C56" i="7"/>
  <c r="C54" i="7"/>
  <c r="C51" i="7"/>
  <c r="C39" i="7" s="1"/>
  <c r="C23" i="7" s="1"/>
  <c r="C45" i="7"/>
  <c r="C43" i="7"/>
  <c r="C38" i="7"/>
  <c r="C37" i="7"/>
  <c r="C36" i="7"/>
  <c r="C30" i="7"/>
  <c r="C20" i="7"/>
  <c r="G2" i="7"/>
  <c r="L142" i="6"/>
  <c r="K142" i="6"/>
  <c r="J142" i="6"/>
  <c r="E142" i="6"/>
  <c r="D142" i="6"/>
  <c r="K141" i="6"/>
  <c r="J141" i="6"/>
  <c r="L141" i="6" s="1"/>
  <c r="E141" i="6"/>
  <c r="D141" i="6" s="1"/>
  <c r="K140" i="6"/>
  <c r="J140" i="6"/>
  <c r="L140" i="6" s="1"/>
  <c r="E140" i="6"/>
  <c r="D140" i="6" s="1"/>
  <c r="K139" i="6"/>
  <c r="I139" i="6"/>
  <c r="H139" i="6"/>
  <c r="G139" i="6"/>
  <c r="G125" i="6" s="1"/>
  <c r="F139" i="6"/>
  <c r="C139" i="6"/>
  <c r="K138" i="6"/>
  <c r="L138" i="6" s="1"/>
  <c r="C127" i="5" s="1"/>
  <c r="J138" i="6"/>
  <c r="E138" i="6"/>
  <c r="D138" i="6" s="1"/>
  <c r="K137" i="6"/>
  <c r="J137" i="6"/>
  <c r="E137" i="6"/>
  <c r="D137" i="6" s="1"/>
  <c r="K136" i="6"/>
  <c r="J136" i="6"/>
  <c r="E136" i="6"/>
  <c r="D136" i="6"/>
  <c r="K135" i="6"/>
  <c r="J135" i="6"/>
  <c r="E135" i="6"/>
  <c r="D135" i="6" s="1"/>
  <c r="L134" i="6"/>
  <c r="K134" i="6"/>
  <c r="J134" i="6"/>
  <c r="E134" i="6"/>
  <c r="D134" i="6" s="1"/>
  <c r="K133" i="6"/>
  <c r="J133" i="6"/>
  <c r="E133" i="6"/>
  <c r="D133" i="6" s="1"/>
  <c r="K132" i="6"/>
  <c r="J132" i="6"/>
  <c r="L132" i="6" s="1"/>
  <c r="E132" i="6"/>
  <c r="D132" i="6"/>
  <c r="K131" i="6"/>
  <c r="J131" i="6"/>
  <c r="E131" i="6"/>
  <c r="D131" i="6"/>
  <c r="K130" i="6"/>
  <c r="L130" i="6" s="1"/>
  <c r="C119" i="5" s="1"/>
  <c r="J130" i="6"/>
  <c r="E130" i="6"/>
  <c r="D130" i="6"/>
  <c r="K129" i="6"/>
  <c r="J129" i="6"/>
  <c r="E129" i="6"/>
  <c r="D129" i="6" s="1"/>
  <c r="K128" i="6"/>
  <c r="J128" i="6"/>
  <c r="E128" i="6"/>
  <c r="D128" i="6"/>
  <c r="K127" i="6"/>
  <c r="J127" i="6"/>
  <c r="L127" i="6" s="1"/>
  <c r="C116" i="5" s="1"/>
  <c r="C45" i="5" s="1"/>
  <c r="D45" i="5" s="1"/>
  <c r="E127" i="6"/>
  <c r="D127" i="6"/>
  <c r="I126" i="6"/>
  <c r="I125" i="6" s="1"/>
  <c r="H126" i="6"/>
  <c r="H125" i="6" s="1"/>
  <c r="G126" i="6"/>
  <c r="G142" i="24" s="1"/>
  <c r="F126" i="6"/>
  <c r="F142" i="24" s="1"/>
  <c r="E126" i="6"/>
  <c r="C126" i="6"/>
  <c r="C142" i="24" s="1"/>
  <c r="C125" i="6"/>
  <c r="L124" i="6"/>
  <c r="C113" i="5" s="1"/>
  <c r="K124" i="6"/>
  <c r="E124" i="6"/>
  <c r="D124" i="6"/>
  <c r="L123" i="6"/>
  <c r="C112" i="5" s="1"/>
  <c r="K123" i="6"/>
  <c r="E123" i="6"/>
  <c r="D123" i="6"/>
  <c r="L122" i="6"/>
  <c r="K122" i="6"/>
  <c r="E122" i="6"/>
  <c r="D122" i="6"/>
  <c r="L121" i="6"/>
  <c r="K121" i="6"/>
  <c r="E121" i="6"/>
  <c r="D121" i="6"/>
  <c r="L120" i="6"/>
  <c r="C109" i="5" s="1"/>
  <c r="K120" i="6"/>
  <c r="E120" i="6"/>
  <c r="D120" i="6"/>
  <c r="L119" i="6"/>
  <c r="C108" i="5" s="1"/>
  <c r="K119" i="6"/>
  <c r="E119" i="6"/>
  <c r="D119" i="6"/>
  <c r="L118" i="6"/>
  <c r="K118" i="6"/>
  <c r="I118" i="6"/>
  <c r="G118" i="6"/>
  <c r="E118" i="6"/>
  <c r="C118" i="6"/>
  <c r="K117" i="6"/>
  <c r="L117" i="6" s="1"/>
  <c r="E117" i="6"/>
  <c r="D117" i="6" s="1"/>
  <c r="K116" i="6"/>
  <c r="L116" i="6" s="1"/>
  <c r="E116" i="6"/>
  <c r="D116" i="6" s="1"/>
  <c r="K115" i="6"/>
  <c r="L115" i="6" s="1"/>
  <c r="E115" i="6"/>
  <c r="D115" i="6" s="1"/>
  <c r="K114" i="6"/>
  <c r="L114" i="6" s="1"/>
  <c r="E114" i="6"/>
  <c r="D114" i="6" s="1"/>
  <c r="K113" i="6"/>
  <c r="L113" i="6" s="1"/>
  <c r="E113" i="6"/>
  <c r="D113" i="6" s="1"/>
  <c r="K112" i="6"/>
  <c r="L112" i="6" s="1"/>
  <c r="E112" i="6"/>
  <c r="D112" i="6"/>
  <c r="K111" i="6"/>
  <c r="L111" i="6" s="1"/>
  <c r="C100" i="5" s="1"/>
  <c r="C39" i="5" s="1"/>
  <c r="D39" i="5" s="1"/>
  <c r="E111" i="6"/>
  <c r="D111" i="6" s="1"/>
  <c r="I110" i="6"/>
  <c r="I109" i="6" s="1"/>
  <c r="I108" i="6" s="1"/>
  <c r="G110" i="6"/>
  <c r="E110" i="6" s="1"/>
  <c r="D110" i="6" s="1"/>
  <c r="C110" i="6"/>
  <c r="C109" i="6"/>
  <c r="H108" i="6"/>
  <c r="F90" i="6"/>
  <c r="D90" i="6"/>
  <c r="H90" i="6" s="1"/>
  <c r="F89" i="6"/>
  <c r="D89" i="6"/>
  <c r="H89" i="6" s="1"/>
  <c r="F88" i="6"/>
  <c r="D88" i="6"/>
  <c r="H88" i="6" s="1"/>
  <c r="F87" i="6"/>
  <c r="D87" i="6"/>
  <c r="H87" i="6" s="1"/>
  <c r="F86" i="6"/>
  <c r="D86" i="6"/>
  <c r="H86" i="6" s="1"/>
  <c r="F85" i="6"/>
  <c r="D85" i="6"/>
  <c r="H85" i="6" s="1"/>
  <c r="C16" i="7" s="1"/>
  <c r="C18" i="5" s="1"/>
  <c r="F84" i="6"/>
  <c r="D84" i="6"/>
  <c r="H84" i="6" s="1"/>
  <c r="F83" i="6"/>
  <c r="D83" i="6"/>
  <c r="H83" i="6" s="1"/>
  <c r="C14" i="7" s="1"/>
  <c r="C16" i="5" s="1"/>
  <c r="F82" i="6"/>
  <c r="D82" i="6"/>
  <c r="H82" i="6" s="1"/>
  <c r="F81" i="6"/>
  <c r="D81" i="6"/>
  <c r="H81" i="6" s="1"/>
  <c r="C22" i="7" s="1"/>
  <c r="C27" i="5" s="1"/>
  <c r="F80" i="6"/>
  <c r="D80" i="6"/>
  <c r="H80" i="6" s="1"/>
  <c r="C18" i="7" s="1"/>
  <c r="G79" i="6"/>
  <c r="F79" i="6" s="1"/>
  <c r="E79" i="6"/>
  <c r="C79" i="6"/>
  <c r="D79" i="6" s="1"/>
  <c r="H79" i="6" s="1"/>
  <c r="H78" i="6"/>
  <c r="C15" i="7" s="1"/>
  <c r="F78" i="6"/>
  <c r="D78" i="6"/>
  <c r="F77" i="6"/>
  <c r="D77" i="6"/>
  <c r="H77" i="6" s="1"/>
  <c r="F76" i="6"/>
  <c r="D76" i="6"/>
  <c r="H76" i="6" s="1"/>
  <c r="F75" i="6"/>
  <c r="D75" i="6"/>
  <c r="H75" i="6" s="1"/>
  <c r="F74" i="6"/>
  <c r="D74" i="6"/>
  <c r="H74" i="6" s="1"/>
  <c r="F73" i="6"/>
  <c r="D73" i="6"/>
  <c r="H73" i="6" s="1"/>
  <c r="F72" i="6"/>
  <c r="D72" i="6"/>
  <c r="H72" i="6" s="1"/>
  <c r="F71" i="6"/>
  <c r="D71" i="6"/>
  <c r="H71" i="6" s="1"/>
  <c r="F70" i="6"/>
  <c r="D70" i="6"/>
  <c r="H70" i="6" s="1"/>
  <c r="F69" i="6"/>
  <c r="D69" i="6"/>
  <c r="H69" i="6" s="1"/>
  <c r="F68" i="6"/>
  <c r="D68" i="6"/>
  <c r="H68" i="6" s="1"/>
  <c r="F67" i="6"/>
  <c r="D67" i="6"/>
  <c r="H67" i="6" s="1"/>
  <c r="F66" i="6"/>
  <c r="D66" i="6"/>
  <c r="H66" i="6" s="1"/>
  <c r="G65" i="6"/>
  <c r="E65" i="6"/>
  <c r="F65" i="6" s="1"/>
  <c r="C65" i="6"/>
  <c r="D65" i="6" s="1"/>
  <c r="F62" i="6"/>
  <c r="D62" i="6"/>
  <c r="H62" i="6" s="1"/>
  <c r="F61" i="6"/>
  <c r="D61" i="6"/>
  <c r="H61" i="6" s="1"/>
  <c r="F60" i="6"/>
  <c r="D60" i="6"/>
  <c r="H60" i="6" s="1"/>
  <c r="F59" i="6"/>
  <c r="D59" i="6"/>
  <c r="H59" i="6" s="1"/>
  <c r="F58" i="6"/>
  <c r="D58" i="6"/>
  <c r="H58" i="6" s="1"/>
  <c r="F57" i="6"/>
  <c r="D57" i="6"/>
  <c r="H57" i="6" s="1"/>
  <c r="F56" i="6"/>
  <c r="D56" i="6"/>
  <c r="H56" i="6" s="1"/>
  <c r="F55" i="6"/>
  <c r="D55" i="6"/>
  <c r="H55" i="6" s="1"/>
  <c r="F54" i="6"/>
  <c r="D54" i="6"/>
  <c r="H54" i="6" s="1"/>
  <c r="F53" i="6"/>
  <c r="D53" i="6"/>
  <c r="H53" i="6" s="1"/>
  <c r="F52" i="6"/>
  <c r="D52" i="6"/>
  <c r="H52" i="6" s="1"/>
  <c r="G51" i="6"/>
  <c r="F51" i="6"/>
  <c r="E51" i="6"/>
  <c r="C51" i="6"/>
  <c r="D51" i="6" s="1"/>
  <c r="H51" i="6" s="1"/>
  <c r="H50" i="6"/>
  <c r="E50" i="6"/>
  <c r="F49" i="6"/>
  <c r="D49" i="6"/>
  <c r="H49" i="6" s="1"/>
  <c r="F48" i="6"/>
  <c r="D48" i="6"/>
  <c r="H48" i="6" s="1"/>
  <c r="F47" i="6"/>
  <c r="D47" i="6"/>
  <c r="H47" i="6" s="1"/>
  <c r="F46" i="6"/>
  <c r="D46" i="6"/>
  <c r="H46" i="6" s="1"/>
  <c r="C57" i="7" s="1"/>
  <c r="C59" i="7" s="1"/>
  <c r="C35" i="7" s="1"/>
  <c r="F45" i="6"/>
  <c r="D45" i="6"/>
  <c r="H45" i="6" s="1"/>
  <c r="H44" i="6"/>
  <c r="F44" i="6"/>
  <c r="D44" i="6"/>
  <c r="F43" i="6"/>
  <c r="D43" i="6"/>
  <c r="H43" i="6" s="1"/>
  <c r="H42" i="6"/>
  <c r="F42" i="6"/>
  <c r="D42" i="6"/>
  <c r="G41" i="6"/>
  <c r="E41" i="6"/>
  <c r="C41" i="6"/>
  <c r="F40" i="6"/>
  <c r="D40" i="6"/>
  <c r="H40" i="6" s="1"/>
  <c r="F39" i="6"/>
  <c r="D39" i="6"/>
  <c r="H39" i="6" s="1"/>
  <c r="F38" i="6"/>
  <c r="D38" i="6"/>
  <c r="H38" i="6" s="1"/>
  <c r="F36" i="6"/>
  <c r="D36" i="6"/>
  <c r="H36" i="6" s="1"/>
  <c r="F35" i="6"/>
  <c r="D35" i="6"/>
  <c r="H35" i="6" s="1"/>
  <c r="F34" i="6"/>
  <c r="D34" i="6"/>
  <c r="H34" i="6" s="1"/>
  <c r="H33" i="6"/>
  <c r="F33" i="6"/>
  <c r="D33" i="6"/>
  <c r="H32" i="6"/>
  <c r="F32" i="6"/>
  <c r="D32" i="6"/>
  <c r="F31" i="6"/>
  <c r="D31" i="6"/>
  <c r="H31" i="6" s="1"/>
  <c r="F30" i="6"/>
  <c r="D30" i="6"/>
  <c r="H30" i="6" s="1"/>
  <c r="F29" i="6"/>
  <c r="D29" i="6"/>
  <c r="H29" i="6" s="1"/>
  <c r="F28" i="6"/>
  <c r="D28" i="6"/>
  <c r="H28" i="6" s="1"/>
  <c r="F27" i="6"/>
  <c r="D27" i="6"/>
  <c r="H27" i="6" s="1"/>
  <c r="F26" i="6"/>
  <c r="D26" i="6"/>
  <c r="H26" i="6" s="1"/>
  <c r="H25" i="6"/>
  <c r="F25" i="6"/>
  <c r="D25" i="6"/>
  <c r="H24" i="6"/>
  <c r="F24" i="6"/>
  <c r="D24" i="6"/>
  <c r="F23" i="6"/>
  <c r="D23" i="6"/>
  <c r="H23" i="6" s="1"/>
  <c r="F22" i="6"/>
  <c r="D22" i="6"/>
  <c r="H22" i="6" s="1"/>
  <c r="F21" i="6"/>
  <c r="D21" i="6"/>
  <c r="H21" i="6" s="1"/>
  <c r="F20" i="6"/>
  <c r="D20" i="6"/>
  <c r="H20" i="6" s="1"/>
  <c r="F19" i="6"/>
  <c r="D19" i="6"/>
  <c r="H19" i="6" s="1"/>
  <c r="F18" i="6"/>
  <c r="D18" i="6"/>
  <c r="H18" i="6" s="1"/>
  <c r="H17" i="6"/>
  <c r="F17" i="6"/>
  <c r="D17" i="6"/>
  <c r="H16" i="6"/>
  <c r="F16" i="6"/>
  <c r="D16" i="6"/>
  <c r="F15" i="6"/>
  <c r="D15" i="6"/>
  <c r="H15" i="6" s="1"/>
  <c r="F14" i="6"/>
  <c r="D14" i="6"/>
  <c r="H14" i="6" s="1"/>
  <c r="F13" i="6"/>
  <c r="D13" i="6"/>
  <c r="H13" i="6" s="1"/>
  <c r="F12" i="6"/>
  <c r="D12" i="6"/>
  <c r="H12" i="6" s="1"/>
  <c r="F11" i="6"/>
  <c r="D11" i="6"/>
  <c r="H11" i="6" s="1"/>
  <c r="G10" i="6"/>
  <c r="G9" i="6" s="1"/>
  <c r="E10" i="6"/>
  <c r="E9" i="6" s="1"/>
  <c r="C10" i="6"/>
  <c r="C9" i="6"/>
  <c r="C131" i="5"/>
  <c r="C130" i="5"/>
  <c r="C129" i="5"/>
  <c r="E128" i="5"/>
  <c r="D128" i="5"/>
  <c r="C123" i="5"/>
  <c r="C121" i="5"/>
  <c r="E115" i="5"/>
  <c r="E114" i="5" s="1"/>
  <c r="D115" i="5"/>
  <c r="D114" i="5" s="1"/>
  <c r="D97" i="5" s="1"/>
  <c r="C111" i="5"/>
  <c r="C110" i="5"/>
  <c r="G107" i="5"/>
  <c r="F107" i="5"/>
  <c r="E107" i="5"/>
  <c r="D107" i="5"/>
  <c r="C107" i="5"/>
  <c r="C106" i="5"/>
  <c r="C105" i="5"/>
  <c r="C104" i="5"/>
  <c r="C103" i="5"/>
  <c r="C102" i="5"/>
  <c r="C42" i="5" s="1"/>
  <c r="D42" i="5" s="1"/>
  <c r="C101" i="5"/>
  <c r="G99" i="5"/>
  <c r="F99" i="5"/>
  <c r="F98" i="5" s="1"/>
  <c r="F97" i="5" s="1"/>
  <c r="E99" i="5"/>
  <c r="D99" i="5"/>
  <c r="G98" i="5"/>
  <c r="G97" i="5" s="1"/>
  <c r="E98" i="5"/>
  <c r="D98" i="5"/>
  <c r="C93" i="5"/>
  <c r="C92" i="5"/>
  <c r="C91" i="5"/>
  <c r="C90" i="5"/>
  <c r="C89" i="5"/>
  <c r="C88" i="5"/>
  <c r="C87" i="5"/>
  <c r="C86" i="5"/>
  <c r="C85" i="5"/>
  <c r="C84" i="5"/>
  <c r="C58" i="5" s="1"/>
  <c r="D58" i="5" s="1"/>
  <c r="C83" i="5"/>
  <c r="C82" i="5"/>
  <c r="C81" i="5"/>
  <c r="C80" i="5"/>
  <c r="D79" i="5"/>
  <c r="C56" i="5" s="1"/>
  <c r="D56" i="5" s="1"/>
  <c r="C79" i="5"/>
  <c r="C78" i="5"/>
  <c r="C77" i="5"/>
  <c r="C76" i="5"/>
  <c r="C75" i="5"/>
  <c r="C74" i="5"/>
  <c r="C73" i="5"/>
  <c r="C72" i="5"/>
  <c r="C71" i="5"/>
  <c r="C70" i="5"/>
  <c r="C69" i="5"/>
  <c r="C68" i="5"/>
  <c r="C67" i="5"/>
  <c r="C61" i="5"/>
  <c r="D61" i="5" s="1"/>
  <c r="C60" i="5"/>
  <c r="D60" i="5" s="1"/>
  <c r="C51" i="5"/>
  <c r="D51" i="5" s="1"/>
  <c r="C50" i="5"/>
  <c r="D50" i="5" s="1"/>
  <c r="C49" i="5"/>
  <c r="D49" i="5" s="1"/>
  <c r="D44" i="5"/>
  <c r="C44" i="5"/>
  <c r="C41" i="5"/>
  <c r="D41" i="5" s="1"/>
  <c r="C40" i="5"/>
  <c r="D40" i="5" s="1"/>
  <c r="C28" i="5"/>
  <c r="C23" i="5"/>
  <c r="C20" i="5"/>
  <c r="C17" i="5"/>
  <c r="D42" i="4"/>
  <c r="D43" i="4" s="1"/>
  <c r="C42" i="4"/>
  <c r="C43" i="4" s="1"/>
  <c r="C32" i="4"/>
  <c r="D18" i="4"/>
  <c r="D9" i="4" s="1"/>
  <c r="C18" i="4"/>
  <c r="D8" i="4" s="1"/>
  <c r="C11" i="4"/>
  <c r="D10" i="4"/>
  <c r="C10" i="4"/>
  <c r="C9" i="4"/>
  <c r="C8" i="4"/>
  <c r="C6" i="4"/>
  <c r="J2" i="32"/>
  <c r="A2" i="3"/>
  <c r="A1" i="3"/>
  <c r="A1" i="20" s="1"/>
  <c r="F42" i="2"/>
  <c r="E42" i="2"/>
  <c r="G41" i="2"/>
  <c r="G40" i="2"/>
  <c r="G39" i="2"/>
  <c r="G38" i="2"/>
  <c r="G37" i="2"/>
  <c r="G35" i="2"/>
  <c r="G34" i="2"/>
  <c r="G33" i="2"/>
  <c r="G32" i="2"/>
  <c r="G31" i="2"/>
  <c r="G30" i="2"/>
  <c r="G28" i="2"/>
  <c r="G27" i="2"/>
  <c r="G26" i="2"/>
  <c r="G25" i="2"/>
  <c r="G24" i="2"/>
  <c r="G23" i="2"/>
  <c r="G22" i="2"/>
  <c r="G21" i="2"/>
  <c r="G20" i="2"/>
  <c r="G19" i="2"/>
  <c r="G17" i="2"/>
  <c r="G16" i="2"/>
  <c r="G15" i="2"/>
  <c r="G14" i="2"/>
  <c r="G12" i="2"/>
  <c r="G11" i="2"/>
  <c r="G10" i="2"/>
  <c r="G9" i="2"/>
  <c r="G8" i="2"/>
  <c r="G7" i="2"/>
  <c r="G6" i="2"/>
  <c r="G5" i="2"/>
  <c r="G4" i="2"/>
  <c r="G3" i="2"/>
  <c r="B14" i="34"/>
  <c r="H1" i="6"/>
  <c r="F51" i="10"/>
  <c r="E1" i="3"/>
  <c r="H1" i="24"/>
  <c r="J1" i="16"/>
  <c r="F54" i="10"/>
  <c r="H1" i="28"/>
  <c r="K1" i="20"/>
  <c r="B3" i="34"/>
  <c r="E1" i="4"/>
  <c r="H1" i="14"/>
  <c r="F56" i="10"/>
  <c r="I1" i="5"/>
  <c r="F1" i="17"/>
  <c r="B28" i="34"/>
  <c r="B112" i="34"/>
  <c r="F15" i="14"/>
  <c r="N1" i="11"/>
  <c r="J1" i="18"/>
  <c r="H1" i="33"/>
  <c r="G1" i="7"/>
  <c r="B20" i="34"/>
  <c r="J1" i="31"/>
  <c r="G1" i="22"/>
  <c r="N1" i="13"/>
  <c r="K1" i="21"/>
  <c r="F13" i="14"/>
  <c r="I1" i="19"/>
  <c r="B103" i="34"/>
  <c r="N1" i="29"/>
  <c r="B9" i="34"/>
  <c r="F12" i="14"/>
  <c r="F1" i="23"/>
  <c r="F16" i="14"/>
  <c r="F1" i="27"/>
  <c r="F55" i="10"/>
  <c r="F14" i="14"/>
  <c r="B130" i="34"/>
  <c r="J1" i="15"/>
  <c r="I1" i="8"/>
  <c r="I1" i="9"/>
  <c r="F52" i="10"/>
  <c r="N1" i="30"/>
  <c r="B65" i="34"/>
  <c r="S1" i="12"/>
  <c r="B83" i="34"/>
  <c r="F53" i="10"/>
  <c r="J1" i="32"/>
  <c r="D6" i="4" l="1"/>
  <c r="C55" i="5"/>
  <c r="D10" i="6"/>
  <c r="F41" i="6"/>
  <c r="C34" i="7"/>
  <c r="C12" i="5" s="1"/>
  <c r="G64" i="6"/>
  <c r="C108" i="6"/>
  <c r="C52" i="5"/>
  <c r="D52" i="5" s="1"/>
  <c r="E13" i="11"/>
  <c r="E48" i="5"/>
  <c r="E97" i="5"/>
  <c r="F10" i="6"/>
  <c r="F9" i="6" s="1"/>
  <c r="K110" i="6"/>
  <c r="A2" i="25"/>
  <c r="A2" i="19"/>
  <c r="A2" i="18"/>
  <c r="A2" i="11"/>
  <c r="L135" i="6"/>
  <c r="C124" i="5" s="1"/>
  <c r="C24" i="7"/>
  <c r="C29" i="5" s="1"/>
  <c r="C26" i="5" s="1"/>
  <c r="CU29" i="8"/>
  <c r="CU37" i="8"/>
  <c r="CU45" i="8"/>
  <c r="CU52" i="8"/>
  <c r="CU53" i="8"/>
  <c r="G17" i="8"/>
  <c r="CT85" i="8"/>
  <c r="CU85" i="8" s="1"/>
  <c r="CU96" i="8"/>
  <c r="CT100" i="8"/>
  <c r="CU100" i="8" s="1"/>
  <c r="CT101" i="8"/>
  <c r="CU101" i="8" s="1"/>
  <c r="CU117" i="8"/>
  <c r="C33" i="25"/>
  <c r="D9" i="11"/>
  <c r="E10" i="11"/>
  <c r="C10" i="11"/>
  <c r="C12" i="11"/>
  <c r="C13" i="11"/>
  <c r="D105" i="21"/>
  <c r="H15" i="24"/>
  <c r="L15" i="24"/>
  <c r="H23" i="24"/>
  <c r="L23" i="24"/>
  <c r="L129" i="6"/>
  <c r="C118" i="5" s="1"/>
  <c r="L133" i="6"/>
  <c r="C122" i="5" s="1"/>
  <c r="C46" i="5" s="1"/>
  <c r="D46" i="5" s="1"/>
  <c r="L137" i="6"/>
  <c r="C126" i="5" s="1"/>
  <c r="E139" i="6"/>
  <c r="J139" i="6"/>
  <c r="L139" i="6" s="1"/>
  <c r="C128" i="5" s="1"/>
  <c r="D23" i="27"/>
  <c r="F23" i="27"/>
  <c r="F33" i="27" s="1"/>
  <c r="AS127" i="8"/>
  <c r="CU60" i="8"/>
  <c r="CU104" i="8"/>
  <c r="C9" i="11"/>
  <c r="H13" i="11"/>
  <c r="H27" i="24"/>
  <c r="L27" i="24"/>
  <c r="H38" i="24"/>
  <c r="L38" i="24"/>
  <c r="H40" i="24"/>
  <c r="L40" i="24"/>
  <c r="I10" i="11"/>
  <c r="F10" i="11"/>
  <c r="D11" i="11"/>
  <c r="J41" i="21"/>
  <c r="H19" i="24"/>
  <c r="L19" i="24"/>
  <c r="H31" i="24"/>
  <c r="L31" i="24"/>
  <c r="L70" i="24"/>
  <c r="H70" i="24"/>
  <c r="G109" i="6"/>
  <c r="L131" i="6"/>
  <c r="C120" i="5" s="1"/>
  <c r="CU72" i="8"/>
  <c r="CU112" i="8"/>
  <c r="I13" i="11"/>
  <c r="H29" i="24"/>
  <c r="L29" i="24"/>
  <c r="H35" i="24"/>
  <c r="L35" i="24"/>
  <c r="M18" i="14"/>
  <c r="C19" i="16"/>
  <c r="C18" i="21"/>
  <c r="I86" i="21"/>
  <c r="G95" i="21"/>
  <c r="F12" i="24"/>
  <c r="J13" i="24"/>
  <c r="F13" i="24"/>
  <c r="D16" i="24"/>
  <c r="L17" i="24"/>
  <c r="F20" i="24"/>
  <c r="J21" i="24"/>
  <c r="F21" i="24"/>
  <c r="D24" i="24"/>
  <c r="L25" i="24"/>
  <c r="F28" i="24"/>
  <c r="J29" i="24"/>
  <c r="F29" i="24"/>
  <c r="D32" i="24"/>
  <c r="L33" i="24"/>
  <c r="F36" i="24"/>
  <c r="J38" i="24"/>
  <c r="F38" i="24"/>
  <c r="H49" i="24"/>
  <c r="H56" i="24"/>
  <c r="H58" i="24"/>
  <c r="H66" i="24"/>
  <c r="D78" i="24"/>
  <c r="L78" i="24" s="1"/>
  <c r="D82" i="24"/>
  <c r="L82" i="24" s="1"/>
  <c r="F48" i="27" s="1"/>
  <c r="F27" i="27" s="1"/>
  <c r="D86" i="24"/>
  <c r="L86" i="24" s="1"/>
  <c r="C115" i="24"/>
  <c r="K117" i="24"/>
  <c r="L117" i="24" s="1"/>
  <c r="E122" i="24"/>
  <c r="E320" i="13"/>
  <c r="G320" i="13" s="1"/>
  <c r="F25" i="13" s="1"/>
  <c r="D45" i="21"/>
  <c r="G59" i="21"/>
  <c r="J68" i="21"/>
  <c r="D10" i="24"/>
  <c r="J15" i="24"/>
  <c r="F15" i="24"/>
  <c r="H18" i="24"/>
  <c r="L18" i="24"/>
  <c r="J23" i="24"/>
  <c r="F23" i="24"/>
  <c r="H26" i="24"/>
  <c r="L26" i="24"/>
  <c r="J31" i="24"/>
  <c r="F31" i="24"/>
  <c r="H34" i="24"/>
  <c r="L34" i="24"/>
  <c r="J40" i="24"/>
  <c r="F40" i="24"/>
  <c r="F46" i="24"/>
  <c r="J46" i="24"/>
  <c r="E128" i="24"/>
  <c r="K128" i="24"/>
  <c r="L128" i="24" s="1"/>
  <c r="F67" i="13"/>
  <c r="D53" i="13" s="1"/>
  <c r="D52" i="13" s="1"/>
  <c r="G81" i="13"/>
  <c r="G105" i="13"/>
  <c r="G165" i="13"/>
  <c r="F175" i="13"/>
  <c r="G55" i="13" s="1"/>
  <c r="G193" i="13"/>
  <c r="G207" i="13"/>
  <c r="F239" i="13"/>
  <c r="E57" i="13" s="1"/>
  <c r="E52" i="13" s="1"/>
  <c r="F259" i="13"/>
  <c r="G57" i="13" s="1"/>
  <c r="G277" i="13"/>
  <c r="F301" i="13"/>
  <c r="G58" i="13" s="1"/>
  <c r="F319" i="13"/>
  <c r="F321" i="13"/>
  <c r="D24" i="19"/>
  <c r="D8" i="19"/>
  <c r="J14" i="21"/>
  <c r="I32" i="21"/>
  <c r="I50" i="21"/>
  <c r="H95" i="21"/>
  <c r="D11" i="24"/>
  <c r="D12" i="24"/>
  <c r="F16" i="24"/>
  <c r="J17" i="24"/>
  <c r="F17" i="24"/>
  <c r="D20" i="24"/>
  <c r="F24" i="24"/>
  <c r="J25" i="24"/>
  <c r="F25" i="24"/>
  <c r="H28" i="24"/>
  <c r="L28" i="24"/>
  <c r="F32" i="24"/>
  <c r="J33" i="24"/>
  <c r="F33" i="24"/>
  <c r="H36" i="24"/>
  <c r="L36" i="24"/>
  <c r="D72" i="24"/>
  <c r="F74" i="24"/>
  <c r="J74" i="24"/>
  <c r="F76" i="24"/>
  <c r="J76" i="24"/>
  <c r="H78" i="24"/>
  <c r="K116" i="24"/>
  <c r="G115" i="24"/>
  <c r="E115" i="24" s="1"/>
  <c r="E118" i="24"/>
  <c r="D119" i="24"/>
  <c r="E127" i="24"/>
  <c r="K127" i="24"/>
  <c r="L127" i="24" s="1"/>
  <c r="J163" i="24" s="1"/>
  <c r="F31" i="13"/>
  <c r="C8" i="13" s="1"/>
  <c r="F63" i="13"/>
  <c r="C53" i="13" s="1"/>
  <c r="F81" i="13"/>
  <c r="F53" i="13" s="1"/>
  <c r="F105" i="13"/>
  <c r="C54" i="13" s="1"/>
  <c r="G113" i="13"/>
  <c r="F123" i="13"/>
  <c r="F54" i="13" s="1"/>
  <c r="F151" i="13"/>
  <c r="D55" i="13" s="1"/>
  <c r="F165" i="13"/>
  <c r="F55" i="13" s="1"/>
  <c r="G189" i="13"/>
  <c r="F207" i="13"/>
  <c r="F56" i="13" s="1"/>
  <c r="F235" i="13"/>
  <c r="D57" i="13" s="1"/>
  <c r="G249" i="13"/>
  <c r="G273" i="13"/>
  <c r="G7" i="18"/>
  <c r="F42" i="21"/>
  <c r="F41" i="21" s="1"/>
  <c r="D46" i="21"/>
  <c r="C46" i="21" s="1"/>
  <c r="C45" i="21" s="1"/>
  <c r="C8" i="21" s="1"/>
  <c r="C17" i="25" s="1"/>
  <c r="D63" i="21"/>
  <c r="D59" i="21" s="1"/>
  <c r="I59" i="21"/>
  <c r="J11" i="24"/>
  <c r="F11" i="24"/>
  <c r="H13" i="24"/>
  <c r="H14" i="24"/>
  <c r="L14" i="24"/>
  <c r="J19" i="24"/>
  <c r="F19" i="24"/>
  <c r="H21" i="24"/>
  <c r="H22" i="24"/>
  <c r="L22" i="24"/>
  <c r="F26" i="24"/>
  <c r="J27" i="24"/>
  <c r="F27" i="24"/>
  <c r="H30" i="24"/>
  <c r="L30" i="24"/>
  <c r="F34" i="24"/>
  <c r="J35" i="24"/>
  <c r="F35" i="24"/>
  <c r="D39" i="24"/>
  <c r="D47" i="24"/>
  <c r="J78" i="24"/>
  <c r="H90" i="24"/>
  <c r="G130" i="24"/>
  <c r="G141" i="24" s="1"/>
  <c r="G143" i="24"/>
  <c r="K138" i="24"/>
  <c r="G150" i="24"/>
  <c r="G148" i="24" s="1"/>
  <c r="J153" i="24"/>
  <c r="C12" i="29"/>
  <c r="G12" i="29" s="1"/>
  <c r="D150" i="24"/>
  <c r="D148" i="24" s="1"/>
  <c r="H150" i="24"/>
  <c r="H148" i="24" s="1"/>
  <c r="D10" i="29"/>
  <c r="E14" i="29"/>
  <c r="J95" i="21"/>
  <c r="D45" i="24"/>
  <c r="L45" i="24" s="1"/>
  <c r="F52" i="24"/>
  <c r="F54" i="24"/>
  <c r="F68" i="24"/>
  <c r="F70" i="24"/>
  <c r="H82" i="24"/>
  <c r="D48" i="27" s="1"/>
  <c r="D27" i="27" s="1"/>
  <c r="F83" i="24"/>
  <c r="F87" i="24"/>
  <c r="L133" i="24"/>
  <c r="M133" i="24" s="1"/>
  <c r="I135" i="24"/>
  <c r="I143" i="24" s="1"/>
  <c r="E138" i="24"/>
  <c r="I150" i="24"/>
  <c r="I148" i="24" s="1"/>
  <c r="D9" i="29"/>
  <c r="E10" i="29"/>
  <c r="C13" i="29"/>
  <c r="E13" i="29"/>
  <c r="E8" i="30"/>
  <c r="H50" i="28"/>
  <c r="J50" i="28" s="1"/>
  <c r="N50" i="28" s="1"/>
  <c r="H54" i="28"/>
  <c r="J54" i="28" s="1"/>
  <c r="N54" i="28" s="1"/>
  <c r="I10" i="29"/>
  <c r="H10" i="29"/>
  <c r="E11" i="29"/>
  <c r="F8" i="30"/>
  <c r="E93" i="6"/>
  <c r="C35" i="10"/>
  <c r="E35" i="10" s="1"/>
  <c r="D62" i="5"/>
  <c r="E59" i="5" s="1"/>
  <c r="E38" i="5"/>
  <c r="C57" i="5"/>
  <c r="D57" i="5" s="1"/>
  <c r="C54" i="5"/>
  <c r="E53" i="5"/>
  <c r="F10" i="27"/>
  <c r="D10" i="27"/>
  <c r="H10" i="6"/>
  <c r="A1" i="5"/>
  <c r="C93" i="6"/>
  <c r="K10" i="8"/>
  <c r="G10" i="8"/>
  <c r="G11" i="8"/>
  <c r="G9" i="8"/>
  <c r="CU34" i="8"/>
  <c r="CT34" i="8"/>
  <c r="CT42" i="8"/>
  <c r="CU42" i="8" s="1"/>
  <c r="CT83" i="8"/>
  <c r="CU83" i="8" s="1"/>
  <c r="A1" i="17"/>
  <c r="L43" i="24"/>
  <c r="H43" i="24"/>
  <c r="F69" i="24"/>
  <c r="J69" i="24"/>
  <c r="D69" i="24"/>
  <c r="L72" i="24"/>
  <c r="H72" i="24"/>
  <c r="L84" i="24"/>
  <c r="H84" i="24"/>
  <c r="CT50" i="8"/>
  <c r="CU50" i="8" s="1"/>
  <c r="CT99" i="8"/>
  <c r="CU99" i="8" s="1"/>
  <c r="I53" i="13"/>
  <c r="I57" i="13"/>
  <c r="E25" i="13" s="1"/>
  <c r="F317" i="13"/>
  <c r="F326" i="13"/>
  <c r="E319" i="13"/>
  <c r="G319" i="13" s="1"/>
  <c r="F24" i="13" s="1"/>
  <c r="F12" i="13"/>
  <c r="E321" i="13"/>
  <c r="G321" i="13" s="1"/>
  <c r="F26" i="13" s="1"/>
  <c r="F14" i="13"/>
  <c r="A1" i="15"/>
  <c r="F44" i="24"/>
  <c r="D44" i="24"/>
  <c r="J44" i="24"/>
  <c r="K91" i="24"/>
  <c r="L91" i="24" s="1"/>
  <c r="J91" i="24"/>
  <c r="F50" i="24"/>
  <c r="J50" i="24"/>
  <c r="L76" i="24"/>
  <c r="H76" i="24"/>
  <c r="D45" i="27"/>
  <c r="H86" i="24"/>
  <c r="C22" i="28"/>
  <c r="H22" i="28" s="1"/>
  <c r="D128" i="24"/>
  <c r="A2" i="31"/>
  <c r="A2" i="32"/>
  <c r="A2" i="27"/>
  <c r="A2" i="30"/>
  <c r="A2" i="24"/>
  <c r="A2" i="22"/>
  <c r="A2" i="26"/>
  <c r="A2" i="29"/>
  <c r="A2" i="28"/>
  <c r="A2" i="15"/>
  <c r="A2" i="14"/>
  <c r="C2" i="9"/>
  <c r="A2" i="33"/>
  <c r="A2" i="23"/>
  <c r="A2" i="21"/>
  <c r="A2" i="20"/>
  <c r="A2" i="17"/>
  <c r="A2" i="13"/>
  <c r="A2" i="16"/>
  <c r="C2" i="8"/>
  <c r="A2" i="7"/>
  <c r="A2" i="12"/>
  <c r="A2" i="5"/>
  <c r="A2" i="6"/>
  <c r="G91" i="6"/>
  <c r="F50" i="6"/>
  <c r="F93" i="6" s="1"/>
  <c r="K11" i="8"/>
  <c r="K18" i="8"/>
  <c r="D47" i="27" s="1"/>
  <c r="G18" i="8"/>
  <c r="D40" i="27" s="1"/>
  <c r="G16" i="8"/>
  <c r="K17" i="8"/>
  <c r="G15" i="8"/>
  <c r="CT30" i="8"/>
  <c r="CU30" i="8" s="1"/>
  <c r="CT38" i="8"/>
  <c r="CU38" i="8" s="1"/>
  <c r="CU46" i="8"/>
  <c r="CT46" i="8"/>
  <c r="CT63" i="8"/>
  <c r="CU63" i="8" s="1"/>
  <c r="CT79" i="8"/>
  <c r="CU79" i="8" s="1"/>
  <c r="CT87" i="8"/>
  <c r="CU87" i="8" s="1"/>
  <c r="CU98" i="8"/>
  <c r="CT98" i="8"/>
  <c r="CT118" i="8"/>
  <c r="CU118" i="8" s="1"/>
  <c r="I2" i="9"/>
  <c r="A2" i="10"/>
  <c r="E32" i="10"/>
  <c r="D14" i="11"/>
  <c r="A1" i="13"/>
  <c r="F52" i="13"/>
  <c r="E318" i="13"/>
  <c r="G318" i="13" s="1"/>
  <c r="F23" i="13" s="1"/>
  <c r="F11" i="13"/>
  <c r="H2" i="14"/>
  <c r="C7" i="16"/>
  <c r="C13" i="14" s="1"/>
  <c r="M15" i="14" s="1"/>
  <c r="E13" i="14"/>
  <c r="D51" i="21"/>
  <c r="E50" i="21"/>
  <c r="D72" i="21"/>
  <c r="D68" i="21" s="1"/>
  <c r="F68" i="21"/>
  <c r="F61" i="24"/>
  <c r="J61" i="24"/>
  <c r="F77" i="24"/>
  <c r="J77" i="24"/>
  <c r="D77" i="24"/>
  <c r="C19" i="32"/>
  <c r="C31" i="31"/>
  <c r="J10" i="28"/>
  <c r="N10" i="28" s="1"/>
  <c r="C33" i="31"/>
  <c r="C21" i="32"/>
  <c r="J12" i="28"/>
  <c r="N12" i="28" s="1"/>
  <c r="C35" i="31"/>
  <c r="J14" i="28"/>
  <c r="N14" i="28" s="1"/>
  <c r="C37" i="31"/>
  <c r="C25" i="32"/>
  <c r="J16" i="28"/>
  <c r="N16" i="28" s="1"/>
  <c r="K124" i="24"/>
  <c r="G123" i="24"/>
  <c r="E123" i="24" s="1"/>
  <c r="E124" i="24"/>
  <c r="J138" i="24"/>
  <c r="L138" i="24" s="1"/>
  <c r="G10" i="29"/>
  <c r="C23" i="32"/>
  <c r="A1" i="32"/>
  <c r="A1" i="33"/>
  <c r="A1" i="30"/>
  <c r="A1" i="31"/>
  <c r="A1" i="29"/>
  <c r="A1" i="28"/>
  <c r="A1" i="25"/>
  <c r="A1" i="26"/>
  <c r="A1" i="23"/>
  <c r="A1" i="27"/>
  <c r="A1" i="21"/>
  <c r="A1" i="22"/>
  <c r="A1" i="16"/>
  <c r="A1" i="12"/>
  <c r="A1" i="10"/>
  <c r="A1" i="24"/>
  <c r="A1" i="19"/>
  <c r="A1" i="18"/>
  <c r="A1" i="11"/>
  <c r="C1" i="8"/>
  <c r="A1" i="7"/>
  <c r="C1" i="9"/>
  <c r="A1" i="14"/>
  <c r="A1" i="4"/>
  <c r="A1" i="6"/>
  <c r="G93" i="6"/>
  <c r="CT51" i="8"/>
  <c r="CU51" i="8" s="1"/>
  <c r="CT126" i="8"/>
  <c r="CU126" i="8" s="1"/>
  <c r="F77" i="21"/>
  <c r="D78" i="21"/>
  <c r="L42" i="24"/>
  <c r="H42" i="24"/>
  <c r="C31" i="25"/>
  <c r="F79" i="27"/>
  <c r="F60" i="27"/>
  <c r="D9" i="6"/>
  <c r="G63" i="6"/>
  <c r="G92" i="6" s="1"/>
  <c r="K9" i="8"/>
  <c r="CT31" i="8"/>
  <c r="CU31" i="8" s="1"/>
  <c r="CT39" i="8"/>
  <c r="CU39" i="8" s="1"/>
  <c r="CT47" i="8"/>
  <c r="CU47" i="8" s="1"/>
  <c r="CT82" i="8"/>
  <c r="CU82" i="8" s="1"/>
  <c r="CT119" i="8"/>
  <c r="CU119" i="8" s="1"/>
  <c r="C11" i="11"/>
  <c r="G11" i="11" s="1"/>
  <c r="H56" i="13"/>
  <c r="E12" i="13" s="1"/>
  <c r="D25" i="19"/>
  <c r="D23" i="19"/>
  <c r="D22" i="19"/>
  <c r="F23" i="21"/>
  <c r="D24" i="21"/>
  <c r="E41" i="21"/>
  <c r="F73" i="24"/>
  <c r="J73" i="24"/>
  <c r="D73" i="24"/>
  <c r="F85" i="24"/>
  <c r="D85" i="24"/>
  <c r="L85" i="24" s="1"/>
  <c r="F39" i="27" s="1"/>
  <c r="J85" i="24"/>
  <c r="F91" i="24"/>
  <c r="C21" i="28"/>
  <c r="H21" i="28" s="1"/>
  <c r="D127" i="24"/>
  <c r="C123" i="24"/>
  <c r="A2" i="4"/>
  <c r="C64" i="6"/>
  <c r="F91" i="6"/>
  <c r="H2" i="33"/>
  <c r="H2" i="28"/>
  <c r="F2" i="27"/>
  <c r="N2" i="29"/>
  <c r="N2" i="30"/>
  <c r="E2" i="25"/>
  <c r="H2" i="24"/>
  <c r="F2" i="23"/>
  <c r="G2" i="22"/>
  <c r="K2" i="21"/>
  <c r="K2" i="20"/>
  <c r="F2" i="17"/>
  <c r="N2" i="13"/>
  <c r="J2" i="16"/>
  <c r="S2" i="12"/>
  <c r="E2" i="10"/>
  <c r="J2" i="31"/>
  <c r="J2" i="18"/>
  <c r="J2" i="26"/>
  <c r="I2" i="19"/>
  <c r="J2" i="15"/>
  <c r="N2" i="11"/>
  <c r="E2" i="4"/>
  <c r="I2" i="5"/>
  <c r="H2" i="6"/>
  <c r="D41" i="6"/>
  <c r="H41" i="6" s="1"/>
  <c r="E64" i="6"/>
  <c r="H65" i="6"/>
  <c r="C17" i="7" s="1"/>
  <c r="C19" i="5" s="1"/>
  <c r="F125" i="6"/>
  <c r="E142" i="24"/>
  <c r="D126" i="6"/>
  <c r="K15" i="8"/>
  <c r="CT35" i="8"/>
  <c r="CU35" i="8" s="1"/>
  <c r="CT43" i="8"/>
  <c r="CU43" i="8" s="1"/>
  <c r="CU62" i="8"/>
  <c r="CT62" i="8"/>
  <c r="CT78" i="8"/>
  <c r="CU78" i="8" s="1"/>
  <c r="CT86" i="8"/>
  <c r="CU86" i="8" s="1"/>
  <c r="D13" i="11"/>
  <c r="G13" i="11" s="1"/>
  <c r="C14" i="11"/>
  <c r="G14" i="11" s="1"/>
  <c r="D11" i="12"/>
  <c r="D7" i="12" s="1"/>
  <c r="C52" i="10" s="1"/>
  <c r="K52" i="10" s="1"/>
  <c r="F65" i="12"/>
  <c r="E11" i="12" s="1"/>
  <c r="E7" i="12" s="1"/>
  <c r="D52" i="10" s="1"/>
  <c r="G20" i="13"/>
  <c r="E23" i="26"/>
  <c r="H58" i="13"/>
  <c r="E14" i="13" s="1"/>
  <c r="I55" i="13"/>
  <c r="E23" i="13" s="1"/>
  <c r="F53" i="24"/>
  <c r="J53" i="24"/>
  <c r="L68" i="24"/>
  <c r="H68" i="24"/>
  <c r="K126" i="24"/>
  <c r="L126" i="24" s="1"/>
  <c r="E126" i="24"/>
  <c r="D118" i="6"/>
  <c r="L136" i="6"/>
  <c r="C125" i="5" s="1"/>
  <c r="C47" i="5" s="1"/>
  <c r="D47" i="5" s="1"/>
  <c r="E43" i="5" s="1"/>
  <c r="AP127" i="8"/>
  <c r="CU54" i="8"/>
  <c r="CT55" i="8"/>
  <c r="CU55" i="8" s="1"/>
  <c r="CU58" i="8"/>
  <c r="CT59" i="8"/>
  <c r="CU59" i="8" s="1"/>
  <c r="CU66" i="8"/>
  <c r="CT67" i="8"/>
  <c r="CU67" i="8" s="1"/>
  <c r="CU70" i="8"/>
  <c r="CU71" i="8"/>
  <c r="CT71" i="8"/>
  <c r="CU74" i="8"/>
  <c r="CT75" i="8"/>
  <c r="CU75" i="8" s="1"/>
  <c r="CU102" i="8"/>
  <c r="CT103" i="8"/>
  <c r="CU103" i="8" s="1"/>
  <c r="CU106" i="8"/>
  <c r="CT107" i="8"/>
  <c r="CU107" i="8" s="1"/>
  <c r="CU110" i="8"/>
  <c r="CU111" i="8"/>
  <c r="CT111" i="8"/>
  <c r="CU114" i="8"/>
  <c r="CT115" i="8"/>
  <c r="CU115" i="8" s="1"/>
  <c r="CU122" i="8"/>
  <c r="CT123" i="8"/>
  <c r="CU123" i="8" s="1"/>
  <c r="C32" i="25"/>
  <c r="G31" i="13"/>
  <c r="C21" i="13"/>
  <c r="E42" i="13"/>
  <c r="H53" i="13"/>
  <c r="E9" i="13" s="1"/>
  <c r="C52" i="13"/>
  <c r="I54" i="13"/>
  <c r="E22" i="13" s="1"/>
  <c r="I58" i="13"/>
  <c r="E26" i="13" s="1"/>
  <c r="G353" i="13"/>
  <c r="G8" i="13" s="1"/>
  <c r="I23" i="26" s="1"/>
  <c r="G9" i="13"/>
  <c r="D36" i="21"/>
  <c r="H42" i="21"/>
  <c r="H41" i="21" s="1"/>
  <c r="D54" i="21"/>
  <c r="F50" i="21"/>
  <c r="F48" i="24"/>
  <c r="D48" i="24"/>
  <c r="J48" i="24"/>
  <c r="F59" i="24"/>
  <c r="J59" i="24"/>
  <c r="F67" i="24"/>
  <c r="J67" i="24"/>
  <c r="D67" i="24"/>
  <c r="F75" i="24"/>
  <c r="J75" i="24"/>
  <c r="D75" i="24"/>
  <c r="F81" i="24"/>
  <c r="D81" i="24"/>
  <c r="L81" i="24" s="1"/>
  <c r="F43" i="27" s="1"/>
  <c r="J81" i="24"/>
  <c r="E79" i="24"/>
  <c r="J161" i="24"/>
  <c r="J131" i="24"/>
  <c r="L132" i="24"/>
  <c r="M134" i="24"/>
  <c r="J169" i="24"/>
  <c r="H143" i="24"/>
  <c r="H130" i="24"/>
  <c r="D138" i="24"/>
  <c r="C31" i="28"/>
  <c r="H31" i="28" s="1"/>
  <c r="J31" i="28" s="1"/>
  <c r="N31" i="28" s="1"/>
  <c r="C135" i="24"/>
  <c r="K126" i="6"/>
  <c r="K125" i="6" s="1"/>
  <c r="L128" i="6"/>
  <c r="C117" i="5" s="1"/>
  <c r="J126" i="6"/>
  <c r="D139" i="6"/>
  <c r="CT27" i="8"/>
  <c r="CU27" i="8" s="1"/>
  <c r="CU90" i="8"/>
  <c r="CT91" i="8"/>
  <c r="CU91" i="8" s="1"/>
  <c r="CU94" i="8"/>
  <c r="CU95" i="8"/>
  <c r="CT95" i="8"/>
  <c r="E9" i="11"/>
  <c r="G9" i="11" s="1"/>
  <c r="D10" i="11"/>
  <c r="G10" i="11" s="1"/>
  <c r="H8" i="11"/>
  <c r="D10" i="17" s="1"/>
  <c r="D9" i="17" s="1"/>
  <c r="E12" i="11"/>
  <c r="G12" i="11" s="1"/>
  <c r="C7" i="12"/>
  <c r="G52" i="13"/>
  <c r="H57" i="13"/>
  <c r="E13" i="13" s="1"/>
  <c r="G326" i="13"/>
  <c r="E326" i="13" s="1"/>
  <c r="E316" i="13"/>
  <c r="E339" i="13"/>
  <c r="D15" i="21"/>
  <c r="D14" i="21" s="1"/>
  <c r="E14" i="21"/>
  <c r="E32" i="21"/>
  <c r="D90" i="21"/>
  <c r="L46" i="24"/>
  <c r="F80" i="27" s="1"/>
  <c r="F82" i="27" s="1"/>
  <c r="F57" i="27" s="1"/>
  <c r="F56" i="27" s="1"/>
  <c r="H46" i="24"/>
  <c r="D80" i="27" s="1"/>
  <c r="D82" i="27" s="1"/>
  <c r="D57" i="27" s="1"/>
  <c r="D53" i="24"/>
  <c r="L54" i="24"/>
  <c r="H54" i="24"/>
  <c r="L55" i="24"/>
  <c r="H55" i="24"/>
  <c r="L60" i="24"/>
  <c r="H60" i="24"/>
  <c r="D61" i="24"/>
  <c r="L62" i="24"/>
  <c r="H62" i="24"/>
  <c r="E65" i="24"/>
  <c r="F71" i="24"/>
  <c r="J71" i="24"/>
  <c r="D71" i="24"/>
  <c r="C79" i="24"/>
  <c r="D80" i="24"/>
  <c r="H85" i="24"/>
  <c r="F89" i="24"/>
  <c r="D89" i="24"/>
  <c r="L89" i="24" s="1"/>
  <c r="J89" i="24"/>
  <c r="E129" i="24"/>
  <c r="K129" i="24"/>
  <c r="L129" i="24" s="1"/>
  <c r="J155" i="24"/>
  <c r="C40" i="31"/>
  <c r="C28" i="32"/>
  <c r="J19" i="28"/>
  <c r="N19" i="28" s="1"/>
  <c r="M125" i="24" s="1"/>
  <c r="E9" i="29"/>
  <c r="C42" i="21"/>
  <c r="C7" i="21" s="1"/>
  <c r="K93" i="24"/>
  <c r="F42" i="24"/>
  <c r="E41" i="24"/>
  <c r="C51" i="24"/>
  <c r="F55" i="24"/>
  <c r="J55" i="24"/>
  <c r="L57" i="24"/>
  <c r="H57" i="24"/>
  <c r="M118" i="24"/>
  <c r="M120" i="24"/>
  <c r="M122" i="24"/>
  <c r="J24" i="28"/>
  <c r="N24" i="28" s="1"/>
  <c r="K142" i="24"/>
  <c r="D137" i="24"/>
  <c r="C30" i="28"/>
  <c r="H30" i="28" s="1"/>
  <c r="J30" i="28" s="1"/>
  <c r="N30" i="28" s="1"/>
  <c r="J149" i="24"/>
  <c r="J157" i="24"/>
  <c r="C166" i="24"/>
  <c r="J168" i="24"/>
  <c r="D27" i="21"/>
  <c r="E23" i="21"/>
  <c r="D81" i="21"/>
  <c r="E77" i="21"/>
  <c r="F95" i="21"/>
  <c r="D96" i="21"/>
  <c r="D95" i="21" s="1"/>
  <c r="D52" i="24"/>
  <c r="F57" i="24"/>
  <c r="J57" i="24"/>
  <c r="D59" i="24"/>
  <c r="D65" i="24"/>
  <c r="L65" i="24" s="1"/>
  <c r="F41" i="27" s="1"/>
  <c r="F14" i="27" s="1"/>
  <c r="K64" i="24"/>
  <c r="G79" i="24"/>
  <c r="H83" i="24"/>
  <c r="H87" i="24"/>
  <c r="J164" i="24"/>
  <c r="J158" i="24"/>
  <c r="C15" i="26"/>
  <c r="D93" i="27"/>
  <c r="D65" i="27" s="1"/>
  <c r="C24" i="32"/>
  <c r="C36" i="31"/>
  <c r="J15" i="28"/>
  <c r="N15" i="28" s="1"/>
  <c r="M121" i="24" s="1"/>
  <c r="G41" i="24"/>
  <c r="G9" i="24" s="1"/>
  <c r="C27" i="32"/>
  <c r="C39" i="31"/>
  <c r="C29" i="32"/>
  <c r="C41" i="31"/>
  <c r="D142" i="24"/>
  <c r="H142" i="24"/>
  <c r="F135" i="24"/>
  <c r="J136" i="24"/>
  <c r="L137" i="24"/>
  <c r="J154" i="24"/>
  <c r="C22" i="32"/>
  <c r="C34" i="31"/>
  <c r="J13" i="28"/>
  <c r="N13" i="28" s="1"/>
  <c r="M119" i="24" s="1"/>
  <c r="J20" i="28"/>
  <c r="N20" i="28" s="1"/>
  <c r="H35" i="28"/>
  <c r="J35" i="28" s="1"/>
  <c r="N35" i="28" s="1"/>
  <c r="D33" i="21"/>
  <c r="G50" i="21"/>
  <c r="D87" i="21"/>
  <c r="D86" i="21" s="1"/>
  <c r="C9" i="24"/>
  <c r="C41" i="24"/>
  <c r="F43" i="24"/>
  <c r="F45" i="24"/>
  <c r="F47" i="24"/>
  <c r="F49" i="24"/>
  <c r="E51" i="24"/>
  <c r="G51" i="24"/>
  <c r="F80" i="24"/>
  <c r="F82" i="24"/>
  <c r="F84" i="24"/>
  <c r="F86" i="24"/>
  <c r="F88" i="24"/>
  <c r="F90" i="24"/>
  <c r="G114" i="24"/>
  <c r="I123" i="24"/>
  <c r="I114" i="24" s="1"/>
  <c r="C23" i="28"/>
  <c r="H23" i="28" s="1"/>
  <c r="I130" i="24"/>
  <c r="I141" i="24" s="1"/>
  <c r="I142" i="24"/>
  <c r="C159" i="24"/>
  <c r="J172" i="24"/>
  <c r="D79" i="27"/>
  <c r="D50" i="27" s="1"/>
  <c r="D30" i="27" s="1"/>
  <c r="C20" i="32"/>
  <c r="C32" i="31"/>
  <c r="J11" i="28"/>
  <c r="N11" i="28" s="1"/>
  <c r="M117" i="24" s="1"/>
  <c r="J18" i="28"/>
  <c r="N18" i="28" s="1"/>
  <c r="C9" i="29"/>
  <c r="G9" i="29" s="1"/>
  <c r="C11" i="29"/>
  <c r="G11" i="29" s="1"/>
  <c r="I13" i="29"/>
  <c r="I8" i="29" s="1"/>
  <c r="C14" i="29"/>
  <c r="D74" i="27"/>
  <c r="D61" i="27" s="1"/>
  <c r="D49" i="27" s="1"/>
  <c r="D29" i="27" s="1"/>
  <c r="D85" i="27"/>
  <c r="D58" i="27" s="1"/>
  <c r="H13" i="29"/>
  <c r="H8" i="29" s="1"/>
  <c r="K136" i="24"/>
  <c r="K135" i="24" s="1"/>
  <c r="J156" i="24"/>
  <c r="H43" i="28"/>
  <c r="J43" i="28" s="1"/>
  <c r="N43" i="28" s="1"/>
  <c r="D13" i="29"/>
  <c r="G13" i="29" s="1"/>
  <c r="D14" i="29"/>
  <c r="F10" i="24" l="1"/>
  <c r="H54" i="13"/>
  <c r="E10" i="13" s="1"/>
  <c r="I56" i="13"/>
  <c r="E24" i="13" s="1"/>
  <c r="C43" i="15"/>
  <c r="C31" i="16"/>
  <c r="D33" i="27"/>
  <c r="C27" i="10"/>
  <c r="D39" i="27"/>
  <c r="D51" i="24"/>
  <c r="F353" i="13"/>
  <c r="J10" i="24"/>
  <c r="H55" i="13"/>
  <c r="E11" i="13" s="1"/>
  <c r="C42" i="15"/>
  <c r="C30" i="16"/>
  <c r="L116" i="24"/>
  <c r="K115" i="24"/>
  <c r="L115" i="24" s="1"/>
  <c r="J151" i="24" s="1"/>
  <c r="C9" i="28"/>
  <c r="H9" i="28" s="1"/>
  <c r="J9" i="28" s="1"/>
  <c r="N9" i="28" s="1"/>
  <c r="D115" i="24"/>
  <c r="H32" i="24"/>
  <c r="L32" i="24"/>
  <c r="I8" i="11"/>
  <c r="C15" i="20" s="1"/>
  <c r="C7" i="20" s="1"/>
  <c r="C55" i="10" s="1"/>
  <c r="G108" i="6"/>
  <c r="E109" i="6"/>
  <c r="D109" i="6" s="1"/>
  <c r="C30" i="25"/>
  <c r="L47" i="24"/>
  <c r="H47" i="24"/>
  <c r="E7" i="18"/>
  <c r="F7" i="18"/>
  <c r="H20" i="24"/>
  <c r="L20" i="24"/>
  <c r="H12" i="24"/>
  <c r="L12" i="24"/>
  <c r="H24" i="24"/>
  <c r="L24" i="24"/>
  <c r="G8" i="8"/>
  <c r="H39" i="24"/>
  <c r="L39" i="24"/>
  <c r="D118" i="24"/>
  <c r="C33" i="15"/>
  <c r="C21" i="16"/>
  <c r="H11" i="24"/>
  <c r="L11" i="24"/>
  <c r="H45" i="24"/>
  <c r="D122" i="24"/>
  <c r="C37" i="15"/>
  <c r="C25" i="16"/>
  <c r="H16" i="24"/>
  <c r="L16" i="24"/>
  <c r="K109" i="6"/>
  <c r="L110" i="6"/>
  <c r="C99" i="5" s="1"/>
  <c r="G93" i="24"/>
  <c r="C13" i="25"/>
  <c r="L52" i="10"/>
  <c r="G8" i="11"/>
  <c r="C51" i="10" s="1"/>
  <c r="D12" i="27"/>
  <c r="L51" i="24"/>
  <c r="H51" i="24"/>
  <c r="C14" i="14"/>
  <c r="M16" i="14" s="1"/>
  <c r="E9" i="17"/>
  <c r="D14" i="14" s="1"/>
  <c r="N16" i="14" s="1"/>
  <c r="C28" i="28"/>
  <c r="H28" i="28" s="1"/>
  <c r="C143" i="24"/>
  <c r="C130" i="24"/>
  <c r="J130" i="24"/>
  <c r="J142" i="24"/>
  <c r="L131" i="24"/>
  <c r="L48" i="24"/>
  <c r="H48" i="24"/>
  <c r="D42" i="21"/>
  <c r="D41" i="21" s="1"/>
  <c r="D26" i="27"/>
  <c r="D25" i="27" s="1"/>
  <c r="C28" i="10" s="1"/>
  <c r="F47" i="27"/>
  <c r="F26" i="27" s="1"/>
  <c r="L44" i="24"/>
  <c r="H44" i="24"/>
  <c r="E37" i="5"/>
  <c r="E36" i="5" s="1"/>
  <c r="C31" i="5" s="1"/>
  <c r="K143" i="24"/>
  <c r="K130" i="24"/>
  <c r="J135" i="24"/>
  <c r="L136" i="24"/>
  <c r="G64" i="24"/>
  <c r="L59" i="24"/>
  <c r="H59" i="24"/>
  <c r="C18" i="25"/>
  <c r="C6" i="21"/>
  <c r="C56" i="10" s="1"/>
  <c r="D126" i="24"/>
  <c r="C41" i="15"/>
  <c r="C29" i="16"/>
  <c r="F64" i="6"/>
  <c r="E63" i="6"/>
  <c r="D24" i="27"/>
  <c r="F24" i="27"/>
  <c r="C7" i="7"/>
  <c r="C14" i="5"/>
  <c r="F12" i="27"/>
  <c r="G14" i="29"/>
  <c r="C32" i="32"/>
  <c r="J23" i="28"/>
  <c r="N23" i="28" s="1"/>
  <c r="M129" i="24" s="1"/>
  <c r="C44" i="31"/>
  <c r="D41" i="24"/>
  <c r="F143" i="24"/>
  <c r="E135" i="24"/>
  <c r="E143" i="24" s="1"/>
  <c r="F130" i="24"/>
  <c r="K63" i="24"/>
  <c r="L80" i="24"/>
  <c r="F42" i="27" s="1"/>
  <c r="F15" i="27" s="1"/>
  <c r="H80" i="24"/>
  <c r="D42" i="27" s="1"/>
  <c r="L61" i="24"/>
  <c r="H61" i="24"/>
  <c r="D56" i="27"/>
  <c r="C18" i="10" s="1"/>
  <c r="G316" i="13"/>
  <c r="L67" i="24"/>
  <c r="H67" i="24"/>
  <c r="H52" i="13"/>
  <c r="E8" i="13" s="1"/>
  <c r="C20" i="13"/>
  <c r="E31" i="13"/>
  <c r="J162" i="24"/>
  <c r="M126" i="24"/>
  <c r="K8" i="8"/>
  <c r="F50" i="27"/>
  <c r="F30" i="27" s="1"/>
  <c r="M138" i="24"/>
  <c r="D9" i="27"/>
  <c r="C21" i="10" s="1"/>
  <c r="F9" i="27"/>
  <c r="C31" i="32"/>
  <c r="C43" i="31"/>
  <c r="J22" i="28"/>
  <c r="N22" i="28" s="1"/>
  <c r="M128" i="24" s="1"/>
  <c r="F71" i="27"/>
  <c r="F44" i="27"/>
  <c r="F16" i="27" s="1"/>
  <c r="E21" i="13"/>
  <c r="I52" i="13"/>
  <c r="E20" i="13" s="1"/>
  <c r="G108" i="24"/>
  <c r="G112" i="24" s="1"/>
  <c r="E114" i="24"/>
  <c r="C93" i="24"/>
  <c r="M137" i="24"/>
  <c r="J171" i="24"/>
  <c r="L52" i="24"/>
  <c r="H52" i="24"/>
  <c r="C32" i="16"/>
  <c r="C44" i="15"/>
  <c r="L71" i="24"/>
  <c r="H71" i="24"/>
  <c r="L126" i="6"/>
  <c r="C115" i="5" s="1"/>
  <c r="J125" i="6"/>
  <c r="D22" i="27"/>
  <c r="F22" i="27"/>
  <c r="K14" i="8"/>
  <c r="L73" i="24"/>
  <c r="H73" i="24"/>
  <c r="D23" i="21"/>
  <c r="D8" i="27"/>
  <c r="F8" i="27"/>
  <c r="F7" i="27" s="1"/>
  <c r="G14" i="8"/>
  <c r="F10" i="13"/>
  <c r="F315" i="13"/>
  <c r="F8" i="13" s="1"/>
  <c r="H23" i="26" s="1"/>
  <c r="E317" i="13"/>
  <c r="G317" i="13" s="1"/>
  <c r="F22" i="13" s="1"/>
  <c r="L69" i="24"/>
  <c r="H69" i="24"/>
  <c r="G8" i="29"/>
  <c r="D129" i="24"/>
  <c r="J51" i="24"/>
  <c r="F51" i="24"/>
  <c r="F41" i="24"/>
  <c r="J41" i="24"/>
  <c r="M115" i="24"/>
  <c r="L53" i="24"/>
  <c r="H53" i="24"/>
  <c r="C17" i="28"/>
  <c r="H17" i="28" s="1"/>
  <c r="J17" i="28" s="1"/>
  <c r="N17" i="28" s="1"/>
  <c r="C114" i="24"/>
  <c r="D123" i="24"/>
  <c r="D96" i="6"/>
  <c r="D102" i="6" s="1"/>
  <c r="D93" i="6"/>
  <c r="C150" i="24"/>
  <c r="K123" i="24"/>
  <c r="L124" i="24"/>
  <c r="H81" i="24"/>
  <c r="D43" i="27" s="1"/>
  <c r="I108" i="24"/>
  <c r="I112" i="24" s="1"/>
  <c r="H65" i="24"/>
  <c r="D41" i="27" s="1"/>
  <c r="D14" i="27" s="1"/>
  <c r="E9" i="24"/>
  <c r="D32" i="21"/>
  <c r="J165" i="24"/>
  <c r="D79" i="24"/>
  <c r="L79" i="24" s="1"/>
  <c r="C64" i="24"/>
  <c r="E64" i="24"/>
  <c r="F65" i="24"/>
  <c r="J65" i="24"/>
  <c r="H141" i="24"/>
  <c r="H108" i="24"/>
  <c r="H112" i="24" s="1"/>
  <c r="M132" i="24"/>
  <c r="J167" i="24"/>
  <c r="J79" i="24"/>
  <c r="F79" i="24"/>
  <c r="L75" i="24"/>
  <c r="H75" i="24"/>
  <c r="H89" i="24"/>
  <c r="E125" i="6"/>
  <c r="D125" i="6" s="1"/>
  <c r="F108" i="6"/>
  <c r="E108" i="6" s="1"/>
  <c r="D108" i="6" s="1"/>
  <c r="D64" i="6"/>
  <c r="H64" i="6" s="1"/>
  <c r="C63" i="6"/>
  <c r="C42" i="31"/>
  <c r="J21" i="28"/>
  <c r="N21" i="28" s="1"/>
  <c r="M127" i="24" s="1"/>
  <c r="C30" i="32"/>
  <c r="C12" i="7"/>
  <c r="D77" i="21"/>
  <c r="D124" i="24"/>
  <c r="C27" i="16"/>
  <c r="C39" i="15"/>
  <c r="L77" i="24"/>
  <c r="H77" i="24"/>
  <c r="D50" i="21"/>
  <c r="D13" i="27"/>
  <c r="F40" i="27"/>
  <c r="F13" i="27" s="1"/>
  <c r="G91" i="24"/>
  <c r="H91" i="24" s="1"/>
  <c r="H91" i="6"/>
  <c r="C19" i="7" s="1"/>
  <c r="C21" i="5" s="1"/>
  <c r="C15" i="5" s="1"/>
  <c r="H9" i="6"/>
  <c r="H79" i="24" l="1"/>
  <c r="D7" i="18"/>
  <c r="D15" i="14" s="1"/>
  <c r="N17" i="14" s="1"/>
  <c r="E15" i="14"/>
  <c r="J152" i="24"/>
  <c r="M116" i="24"/>
  <c r="L10" i="24"/>
  <c r="D135" i="24"/>
  <c r="D143" i="24" s="1"/>
  <c r="L109" i="6"/>
  <c r="C98" i="5" s="1"/>
  <c r="K108" i="6"/>
  <c r="H10" i="24"/>
  <c r="L55" i="10"/>
  <c r="K55" i="10"/>
  <c r="H93" i="6"/>
  <c r="D64" i="24"/>
  <c r="L64" i="24" s="1"/>
  <c r="C63" i="24"/>
  <c r="C148" i="24"/>
  <c r="F11" i="27"/>
  <c r="C12" i="25"/>
  <c r="L51" i="10"/>
  <c r="K51" i="10"/>
  <c r="C108" i="24"/>
  <c r="D114" i="24"/>
  <c r="F37" i="27"/>
  <c r="M136" i="24"/>
  <c r="J170" i="24"/>
  <c r="F25" i="27"/>
  <c r="J141" i="24"/>
  <c r="L130" i="24"/>
  <c r="C16" i="26"/>
  <c r="C13" i="26" s="1"/>
  <c r="J108" i="24"/>
  <c r="J112" i="24" s="1"/>
  <c r="D71" i="27"/>
  <c r="D44" i="27"/>
  <c r="D16" i="27" s="1"/>
  <c r="J9" i="24"/>
  <c r="E93" i="24"/>
  <c r="F9" i="24"/>
  <c r="M124" i="24"/>
  <c r="J160" i="24"/>
  <c r="F21" i="27"/>
  <c r="D9" i="24"/>
  <c r="C8" i="7"/>
  <c r="C25" i="5"/>
  <c r="E24" i="5" s="1"/>
  <c r="E22" i="5" s="1"/>
  <c r="G315" i="13"/>
  <c r="F20" i="13" s="1"/>
  <c r="H20" i="13" s="1"/>
  <c r="C53" i="10" s="1"/>
  <c r="F21" i="13"/>
  <c r="K92" i="24"/>
  <c r="E13" i="5"/>
  <c r="E11" i="5" s="1"/>
  <c r="F63" i="6"/>
  <c r="F92" i="6" s="1"/>
  <c r="E92" i="6"/>
  <c r="J143" i="24"/>
  <c r="L135" i="24"/>
  <c r="C141" i="24"/>
  <c r="D63" i="6"/>
  <c r="C92" i="6"/>
  <c r="D7" i="27"/>
  <c r="C20" i="10"/>
  <c r="L125" i="6"/>
  <c r="C114" i="5" s="1"/>
  <c r="J108" i="6"/>
  <c r="L108" i="6" s="1"/>
  <c r="C97" i="5" s="1"/>
  <c r="F141" i="24"/>
  <c r="E130" i="24"/>
  <c r="D130" i="24" s="1"/>
  <c r="D141" i="24" s="1"/>
  <c r="F108" i="24"/>
  <c r="C12" i="26"/>
  <c r="C10" i="26" s="1"/>
  <c r="C17" i="26" s="1"/>
  <c r="K141" i="24"/>
  <c r="J28" i="28"/>
  <c r="N28" i="28" s="1"/>
  <c r="C46" i="31"/>
  <c r="C10" i="31" s="1"/>
  <c r="C33" i="32"/>
  <c r="C34" i="32" s="1"/>
  <c r="J64" i="24"/>
  <c r="F64" i="24"/>
  <c r="E63" i="24"/>
  <c r="E92" i="24" s="1"/>
  <c r="L123" i="24"/>
  <c r="K114" i="24"/>
  <c r="F6" i="27"/>
  <c r="D21" i="27"/>
  <c r="D20" i="27" s="1"/>
  <c r="C26" i="10"/>
  <c r="E25" i="10" s="1"/>
  <c r="E23" i="10" s="1"/>
  <c r="G23" i="26"/>
  <c r="H8" i="13"/>
  <c r="E315" i="13"/>
  <c r="D15" i="27"/>
  <c r="L41" i="24"/>
  <c r="L9" i="24" s="1"/>
  <c r="H41" i="24"/>
  <c r="H9" i="24" s="1"/>
  <c r="C6" i="7"/>
  <c r="H64" i="24"/>
  <c r="G63" i="24"/>
  <c r="L142" i="24"/>
  <c r="M131" i="24"/>
  <c r="D11" i="27" l="1"/>
  <c r="C22" i="10" s="1"/>
  <c r="H13" i="31"/>
  <c r="J12" i="31"/>
  <c r="H12" i="31"/>
  <c r="J13" i="31"/>
  <c r="I13" i="31"/>
  <c r="I12" i="31"/>
  <c r="K53" i="10"/>
  <c r="J23" i="26"/>
  <c r="D53" i="10"/>
  <c r="J93" i="24"/>
  <c r="C112" i="24"/>
  <c r="M123" i="24"/>
  <c r="J159" i="24"/>
  <c r="D6" i="27"/>
  <c r="D37" i="27"/>
  <c r="F20" i="27"/>
  <c r="F63" i="24"/>
  <c r="F92" i="24" s="1"/>
  <c r="J63" i="24"/>
  <c r="J92" i="24" s="1"/>
  <c r="H93" i="24"/>
  <c r="F112" i="24"/>
  <c r="E108" i="24"/>
  <c r="E112" i="24" s="1"/>
  <c r="H63" i="6"/>
  <c r="H92" i="6" s="1"/>
  <c r="D92" i="6"/>
  <c r="G92" i="24"/>
  <c r="L93" i="24"/>
  <c r="K108" i="24"/>
  <c r="K112" i="24" s="1"/>
  <c r="L112" i="24" s="1"/>
  <c r="J148" i="24" s="1"/>
  <c r="L114" i="24"/>
  <c r="E141" i="24"/>
  <c r="C46" i="15"/>
  <c r="C10" i="15" s="1"/>
  <c r="C33" i="16"/>
  <c r="C34" i="16" s="1"/>
  <c r="E19" i="10"/>
  <c r="E17" i="10" s="1"/>
  <c r="E16" i="10" s="1"/>
  <c r="M135" i="24"/>
  <c r="L143" i="24"/>
  <c r="E6" i="5"/>
  <c r="E10" i="5"/>
  <c r="D96" i="24"/>
  <c r="D102" i="24" s="1"/>
  <c r="D93" i="24"/>
  <c r="F93" i="24"/>
  <c r="L141" i="24"/>
  <c r="J166" i="24"/>
  <c r="D63" i="24"/>
  <c r="L63" i="24" s="1"/>
  <c r="L92" i="24" s="1"/>
  <c r="C92" i="24"/>
  <c r="E6" i="31" l="1"/>
  <c r="C6" i="31" s="1"/>
  <c r="L108" i="24"/>
  <c r="D92" i="24"/>
  <c r="H63" i="24"/>
  <c r="H92" i="24" s="1"/>
  <c r="H13" i="15"/>
  <c r="J12" i="15"/>
  <c r="H12" i="15"/>
  <c r="E6" i="15" s="1"/>
  <c r="I13" i="15"/>
  <c r="J13" i="15"/>
  <c r="I12" i="15"/>
  <c r="D14" i="19"/>
  <c r="D24" i="26"/>
  <c r="J150" i="24"/>
  <c r="D108" i="24"/>
  <c r="D112" i="24" s="1"/>
  <c r="C14" i="25"/>
  <c r="L53" i="10"/>
  <c r="D6" i="31" l="1"/>
  <c r="F14" i="19"/>
  <c r="F15" i="19"/>
  <c r="C25" i="26"/>
  <c r="C27" i="26" s="1"/>
  <c r="D23" i="26"/>
  <c r="C26" i="26" s="1"/>
  <c r="E12" i="14"/>
  <c r="D6" i="15"/>
  <c r="D12" i="14" s="1"/>
  <c r="C15" i="25" s="1"/>
  <c r="D11" i="25" s="1"/>
  <c r="C6" i="15"/>
  <c r="C12" i="14" s="1"/>
  <c r="D17" i="25" l="1"/>
  <c r="E17" i="25" s="1"/>
  <c r="D13" i="25"/>
  <c r="F13" i="25" s="1"/>
  <c r="D16" i="25"/>
  <c r="F16" i="25" s="1"/>
  <c r="D14" i="25"/>
  <c r="E14" i="25" s="1"/>
  <c r="E11" i="25" s="1"/>
  <c r="D27" i="25" s="1"/>
  <c r="F27" i="25" s="1"/>
  <c r="D18" i="25"/>
  <c r="F18" i="25" s="1"/>
  <c r="D15" i="25"/>
  <c r="F15" i="25" s="1"/>
  <c r="D12" i="25"/>
  <c r="F12" i="25" s="1"/>
  <c r="F11" i="25" s="1"/>
  <c r="M13" i="14"/>
  <c r="N14" i="14"/>
  <c r="N12" i="14"/>
  <c r="M12" i="14"/>
  <c r="M14" i="14"/>
  <c r="N13" i="14"/>
  <c r="D44" i="19"/>
  <c r="D40" i="19"/>
  <c r="C28" i="26"/>
  <c r="C32" i="26" s="1"/>
  <c r="D41" i="19"/>
  <c r="D39" i="19"/>
  <c r="D38" i="19"/>
  <c r="N11" i="14" l="1"/>
  <c r="D11" i="14" s="1"/>
  <c r="D54" i="10" s="1"/>
  <c r="C33" i="26"/>
  <c r="C7" i="26"/>
  <c r="L111" i="24" s="1"/>
  <c r="M11" i="14"/>
  <c r="C11" i="14" s="1"/>
  <c r="C54" i="10" s="1"/>
  <c r="D31" i="25"/>
  <c r="D33" i="25"/>
  <c r="F33" i="25" s="1"/>
  <c r="D32" i="25"/>
  <c r="F32" i="25" s="1"/>
  <c r="K54" i="10" l="1"/>
  <c r="K49" i="10" s="1"/>
  <c r="C49" i="10"/>
  <c r="C15" i="10"/>
  <c r="E12" i="10" s="1"/>
  <c r="L148" i="24"/>
  <c r="F31" i="25"/>
  <c r="F30" i="25" s="1"/>
  <c r="C6" i="25" s="1"/>
  <c r="L110" i="24" s="1"/>
  <c r="D30" i="25"/>
  <c r="L54" i="10"/>
  <c r="L49" i="10" s="1"/>
  <c r="E49" i="10" s="1"/>
  <c r="D49" i="10"/>
  <c r="C14" i="10" l="1"/>
  <c r="E11" i="10" s="1"/>
  <c r="K148" i="24"/>
  <c r="E44" i="10"/>
  <c r="E43" i="10" s="1"/>
  <c r="E40" i="10" l="1"/>
  <c r="E38" i="10" s="1"/>
  <c r="E7" i="10" l="1"/>
  <c r="E6" i="10"/>
</calcChain>
</file>

<file path=xl/comments1.xml><?xml version="1.0" encoding="utf-8"?>
<comments xmlns="http://schemas.openxmlformats.org/spreadsheetml/2006/main">
  <authors>
    <author>Swain, Robin</author>
  </authors>
  <commentList>
    <comment ref="BJ20" authorId="0">
      <text>
        <r>
          <rPr>
            <sz val="9"/>
            <color indexed="81"/>
            <rFont val="Tahoma"/>
            <family val="2"/>
          </rPr>
          <t xml:space="preserve">
Ci. Here stands for "Core" criterion i.
Ai. Stands for "Additional" criterion i. Etc.</t>
        </r>
      </text>
    </comment>
  </commentList>
</comments>
</file>

<file path=xl/sharedStrings.xml><?xml version="1.0" encoding="utf-8"?>
<sst xmlns="http://schemas.openxmlformats.org/spreadsheetml/2006/main" count="17543" uniqueCount="1697">
  <si>
    <t>The following set of colors are used to identify cells:</t>
  </si>
  <si>
    <t>Colors used</t>
  </si>
  <si>
    <t>Parameters</t>
  </si>
  <si>
    <t>Input cells</t>
  </si>
  <si>
    <t>Data from other templates</t>
  </si>
  <si>
    <t>Local calculations</t>
  </si>
  <si>
    <t>Results propagated</t>
  </si>
  <si>
    <t>Input cells, data from other templates and local calculations are unlocked</t>
  </si>
  <si>
    <t>Category</t>
  </si>
  <si>
    <t>Content</t>
  </si>
  <si>
    <t>Sheet</t>
  </si>
  <si>
    <t>Needed for</t>
  </si>
  <si>
    <t>GoTo</t>
  </si>
  <si>
    <t>Concise explanation of the structure of the spreadsheet</t>
  </si>
  <si>
    <t>Read-Me</t>
  </si>
  <si>
    <t>This sheet</t>
  </si>
  <si>
    <t>FT2015.Index</t>
  </si>
  <si>
    <t>Participant information</t>
  </si>
  <si>
    <t>FT2015.Participant</t>
  </si>
  <si>
    <t>Phase 1</t>
  </si>
  <si>
    <t>Phase 2</t>
  </si>
  <si>
    <t>Current Regulatory Baseline</t>
  </si>
  <si>
    <t>Baseline</t>
  </si>
  <si>
    <t>Basic Capital Requirements</t>
  </si>
  <si>
    <t>BCR</t>
  </si>
  <si>
    <t>Balance sheet</t>
  </si>
  <si>
    <t>BCR.Balance sheet</t>
  </si>
  <si>
    <t>Quality of capital resources</t>
  </si>
  <si>
    <t>BCR.Capital resources</t>
  </si>
  <si>
    <t>List of financial instruments</t>
  </si>
  <si>
    <t>FT15.Financial Instruments</t>
  </si>
  <si>
    <t>List of other potential capital resources</t>
  </si>
  <si>
    <t>FT15.Non-Paid-Up Cap Resources</t>
  </si>
  <si>
    <t>ICS</t>
  </si>
  <si>
    <t>Example ICS standard method summary</t>
  </si>
  <si>
    <t>Risk assessment</t>
  </si>
  <si>
    <t>Non-Life type</t>
  </si>
  <si>
    <t>ICS.Non-Life type risk</t>
  </si>
  <si>
    <t>Catastrophe</t>
  </si>
  <si>
    <t>ICS.Catastrophe</t>
  </si>
  <si>
    <t>Life type</t>
  </si>
  <si>
    <t>ICS.Life type risk</t>
  </si>
  <si>
    <t>Market risk</t>
  </si>
  <si>
    <t>ICS.Market risk</t>
  </si>
  <si>
    <t>Of which:</t>
  </si>
  <si>
    <t>Interest rate risk</t>
  </si>
  <si>
    <t>ICS.Market.Interest rate</t>
  </si>
  <si>
    <t>Equity risk</t>
  </si>
  <si>
    <t>ICS.Market.Equity</t>
  </si>
  <si>
    <t>Real estate risk</t>
  </si>
  <si>
    <t>ICS.Market.Real estate</t>
  </si>
  <si>
    <t>Currency risk</t>
  </si>
  <si>
    <t>ICS.Market.Currency</t>
  </si>
  <si>
    <t>Asset concentration</t>
  </si>
  <si>
    <t>ICS.Market.Asset concentration</t>
  </si>
  <si>
    <t>Credit risk</t>
  </si>
  <si>
    <t>ICS.Credit risk</t>
  </si>
  <si>
    <t>Operational risk</t>
  </si>
  <si>
    <t>ICS.Operational risk</t>
  </si>
  <si>
    <t>Supplementary information on lapse risk</t>
  </si>
  <si>
    <t>ICS.Supplementary Info.Lapse</t>
  </si>
  <si>
    <t>Supplementary information on expense risk</t>
  </si>
  <si>
    <t>ICS.Supplementary Info.Expense</t>
  </si>
  <si>
    <t>ICS Balance sheet</t>
  </si>
  <si>
    <t>ICS.Balance sheet</t>
  </si>
  <si>
    <t>Consistent and comparable margin over current estimate</t>
  </si>
  <si>
    <t>Under a Transfer approach (Cost of capital)</t>
  </si>
  <si>
    <t>ICS.Transfer-MOCE</t>
  </si>
  <si>
    <t>Under a Prudence approach</t>
  </si>
  <si>
    <t>ICS.Prudence-MOCE</t>
  </si>
  <si>
    <t>ICS.Capital resources</t>
  </si>
  <si>
    <t>GAAP Plus</t>
  </si>
  <si>
    <t>Detailed reconciliation (GAAP -&gt; GAAP + -&gt; MA) [liabilities]</t>
  </si>
  <si>
    <t>ICS.Liabilities reconciliation</t>
  </si>
  <si>
    <t>Subset of ICS risks tested under a GAAP Plus approach</t>
  </si>
  <si>
    <t>ICS.Non life.G+</t>
  </si>
  <si>
    <t>Life type &gt;&gt; Mortality</t>
  </si>
  <si>
    <t>ICS.Mortality.G+</t>
  </si>
  <si>
    <t>Market &gt;&gt; Interest rate risk</t>
  </si>
  <si>
    <t>ICS.Market.Interest rate.G+</t>
  </si>
  <si>
    <t>Market &gt;&gt; Equity risk</t>
  </si>
  <si>
    <t>ICS.Market.Equity.G+</t>
  </si>
  <si>
    <t>Liabilities and Sovereign Exposures</t>
  </si>
  <si>
    <t>FT15.Sovereign</t>
  </si>
  <si>
    <t>Totals</t>
  </si>
  <si>
    <t>of which already in Phase 1</t>
  </si>
  <si>
    <t>(Participant + 2 lists of capital elements)</t>
  </si>
  <si>
    <t>#</t>
  </si>
  <si>
    <t>IDENTIFICATION OF IAIS FIELD TESTING 2015 PARTICIPANT</t>
  </si>
  <si>
    <t>Name of IAIG</t>
  </si>
  <si>
    <t>-</t>
  </si>
  <si>
    <t>GAAP used for financial reporting purposes</t>
  </si>
  <si>
    <t>Reporting date (dd.mm.yyyy)</t>
  </si>
  <si>
    <t>Reporting phase</t>
  </si>
  <si>
    <t>Version of reporting (1 for initial, 2,3, … for successive)</t>
  </si>
  <si>
    <t>Reporting currency (ISO Code)</t>
  </si>
  <si>
    <t>Currency Unit (1000, 1000000, 1000000000)</t>
  </si>
  <si>
    <t>Primary contact person for queries about data</t>
  </si>
  <si>
    <t>Contact Phone Number 1</t>
  </si>
  <si>
    <t>Contact Phone Number 2</t>
  </si>
  <si>
    <t>E-mail address 1</t>
  </si>
  <si>
    <t>E-mail address 2</t>
  </si>
  <si>
    <t>Current regulatory baseline</t>
  </si>
  <si>
    <t>Summary of current regulatory baseline</t>
  </si>
  <si>
    <t>Total current capital requirements</t>
  </si>
  <si>
    <t>Total current qualifying capital resources</t>
  </si>
  <si>
    <t>of which</t>
  </si>
  <si>
    <t>related to insurance activities</t>
  </si>
  <si>
    <t>related to securities activities</t>
  </si>
  <si>
    <t>related to regulated banking activities</t>
  </si>
  <si>
    <t>related to assets under management</t>
  </si>
  <si>
    <t>other (please specify)</t>
  </si>
  <si>
    <t>BASELINE CURRENT REGULATORY REPORTING</t>
  </si>
  <si>
    <t>Insurance related</t>
  </si>
  <si>
    <t>Securities related</t>
  </si>
  <si>
    <t>Capital requirement</t>
  </si>
  <si>
    <t>Qualifying capital resources</t>
  </si>
  <si>
    <t>Equity</t>
  </si>
  <si>
    <t>Deductions/exclusions of equity from qualifying capital resources</t>
  </si>
  <si>
    <t>Liabilities counted towards qualifying capital resources</t>
  </si>
  <si>
    <t>Information on banking activities</t>
  </si>
  <si>
    <t>Regulated Banking business</t>
  </si>
  <si>
    <t>Unregulated Banking business</t>
  </si>
  <si>
    <t>Total exposure measure for calculation of the leverage ratio</t>
  </si>
  <si>
    <t>Total risk-weighted assets per Basel III framework</t>
  </si>
  <si>
    <t>Capital requirement for banking activities</t>
  </si>
  <si>
    <t>Total Common Equity Tier 1 capital</t>
  </si>
  <si>
    <t>Additional Tier 1 capital</t>
  </si>
  <si>
    <t>Total Tier 1 capital</t>
  </si>
  <si>
    <t>Tier 2 capital</t>
  </si>
  <si>
    <t>Tier 3 capital</t>
  </si>
  <si>
    <t>Information on assets under management</t>
  </si>
  <si>
    <t>Not related to banking</t>
  </si>
  <si>
    <t>Total value of assets under management</t>
  </si>
  <si>
    <t>Gross income - most recent financial year</t>
  </si>
  <si>
    <t>Gross income - financial year minus 1</t>
  </si>
  <si>
    <t>Gross income - financial year minus 2</t>
  </si>
  <si>
    <t>Average</t>
  </si>
  <si>
    <t>Basel II operational risk under the standardised approach</t>
  </si>
  <si>
    <t>Any capital charge imposed by a supervisor on this business</t>
  </si>
  <si>
    <t>Actual operational risk charge reported to banking supervisor(s)</t>
  </si>
  <si>
    <t>Other informations</t>
  </si>
  <si>
    <t>Asset valuation reserve</t>
  </si>
  <si>
    <t>Interest maintenance reserve</t>
  </si>
  <si>
    <t>BCR Ratio</t>
  </si>
  <si>
    <t>Ratio</t>
  </si>
  <si>
    <t>Additional limit</t>
  </si>
  <si>
    <t>Qualifying capital resources / BCR</t>
  </si>
  <si>
    <t>Summary Qualifying BCR Capital Resources</t>
  </si>
  <si>
    <t>Total Qualifying BCR Capital Resources</t>
  </si>
  <si>
    <t>(A + B)</t>
  </si>
  <si>
    <t>C</t>
  </si>
  <si>
    <t>Net Core BCR Capital</t>
  </si>
  <si>
    <t>A</t>
  </si>
  <si>
    <t>Exclusions from Core Capital</t>
  </si>
  <si>
    <t xml:space="preserve">Gross Core Capital </t>
  </si>
  <si>
    <t>Financial Instruments</t>
  </si>
  <si>
    <t>Capital Elements Other than Financial Instruments</t>
  </si>
  <si>
    <t>Retained earnings</t>
  </si>
  <si>
    <t>Contributed Surplus</t>
  </si>
  <si>
    <t>Participating policyholders' equity or account</t>
  </si>
  <si>
    <t>Accumulated Other Comprehensive Income (AOCI)</t>
  </si>
  <si>
    <t>Unrestricted reserves</t>
  </si>
  <si>
    <t>GAAP MOCE</t>
  </si>
  <si>
    <t>Net Additional BCR Capital</t>
  </si>
  <si>
    <t>B</t>
  </si>
  <si>
    <t>Exclusions from Additional Capital</t>
  </si>
  <si>
    <t xml:space="preserve">Gross Additional Capital </t>
  </si>
  <si>
    <t>Restricted reserves</t>
  </si>
  <si>
    <t>50% of each pension plan surplus asset, net of any eligible DTLs, excluded from Core capital</t>
  </si>
  <si>
    <t>Realizable value of net DTA that relies on future profitability, excluded from Core capital</t>
  </si>
  <si>
    <t xml:space="preserve">Realizable value of Computer software intangibles, excluded from Core capital </t>
  </si>
  <si>
    <t>Non-paid-up capital resources</t>
  </si>
  <si>
    <t>Exposure</t>
  </si>
  <si>
    <t>Capital charge</t>
  </si>
  <si>
    <t>BCR factors</t>
  </si>
  <si>
    <t>BCR Summary of capital charges</t>
  </si>
  <si>
    <t>x factor</t>
  </si>
  <si>
    <t>Code</t>
  </si>
  <si>
    <t>Value</t>
  </si>
  <si>
    <t>Basic Capital Requirement</t>
  </si>
  <si>
    <t>BCR Insurance</t>
  </si>
  <si>
    <t>alpha</t>
  </si>
  <si>
    <t>BCR Traditional life</t>
  </si>
  <si>
    <t>Protection life</t>
  </si>
  <si>
    <r>
      <t>a</t>
    </r>
    <r>
      <rPr>
        <vertAlign val="subscript"/>
        <sz val="11"/>
        <color theme="1"/>
        <rFont val="Calibri"/>
        <family val="2"/>
        <scheme val="minor"/>
      </rPr>
      <t>1</t>
    </r>
  </si>
  <si>
    <t>Participating products</t>
  </si>
  <si>
    <r>
      <t>a</t>
    </r>
    <r>
      <rPr>
        <vertAlign val="subscript"/>
        <sz val="11"/>
        <color theme="1"/>
        <rFont val="Calibri"/>
        <family val="2"/>
        <scheme val="minor"/>
      </rPr>
      <t>2</t>
    </r>
    <r>
      <rPr>
        <sz val="10"/>
        <color theme="1"/>
        <rFont val="Arial"/>
        <family val="2"/>
      </rPr>
      <t/>
    </r>
  </si>
  <si>
    <t>Annuities</t>
  </si>
  <si>
    <r>
      <t>a</t>
    </r>
    <r>
      <rPr>
        <vertAlign val="subscript"/>
        <sz val="11"/>
        <color theme="1"/>
        <rFont val="Calibri"/>
        <family val="2"/>
        <scheme val="minor"/>
      </rPr>
      <t>3</t>
    </r>
    <r>
      <rPr>
        <sz val="10"/>
        <color theme="1"/>
        <rFont val="Arial"/>
        <family val="2"/>
      </rPr>
      <t/>
    </r>
  </si>
  <si>
    <t>Other traditional life</t>
  </si>
  <si>
    <r>
      <t>a</t>
    </r>
    <r>
      <rPr>
        <vertAlign val="subscript"/>
        <sz val="11"/>
        <color theme="1"/>
        <rFont val="Calibri"/>
        <family val="2"/>
        <scheme val="minor"/>
      </rPr>
      <t>4</t>
    </r>
    <r>
      <rPr>
        <sz val="10"/>
        <color theme="1"/>
        <rFont val="Arial"/>
        <family val="2"/>
      </rPr>
      <t/>
    </r>
  </si>
  <si>
    <t>BCR Traditional non-life</t>
  </si>
  <si>
    <t>Property</t>
  </si>
  <si>
    <r>
      <t>b</t>
    </r>
    <r>
      <rPr>
        <vertAlign val="subscript"/>
        <sz val="11"/>
        <color theme="1"/>
        <rFont val="Calibri"/>
        <family val="2"/>
        <scheme val="minor"/>
      </rPr>
      <t>1</t>
    </r>
  </si>
  <si>
    <t>Motor</t>
  </si>
  <si>
    <r>
      <t>b</t>
    </r>
    <r>
      <rPr>
        <vertAlign val="subscript"/>
        <sz val="11"/>
        <color theme="1"/>
        <rFont val="Calibri"/>
        <family val="2"/>
        <scheme val="minor"/>
      </rPr>
      <t>2</t>
    </r>
    <r>
      <rPr>
        <sz val="10"/>
        <color theme="1"/>
        <rFont val="Arial"/>
        <family val="2"/>
      </rPr>
      <t/>
    </r>
  </si>
  <si>
    <t>Casualty</t>
  </si>
  <si>
    <r>
      <t>b</t>
    </r>
    <r>
      <rPr>
        <vertAlign val="subscript"/>
        <sz val="11"/>
        <color theme="1"/>
        <rFont val="Calibri"/>
        <family val="2"/>
        <scheme val="minor"/>
      </rPr>
      <t>3</t>
    </r>
    <r>
      <rPr>
        <sz val="10"/>
        <color theme="1"/>
        <rFont val="Arial"/>
        <family val="2"/>
      </rPr>
      <t/>
    </r>
  </si>
  <si>
    <t>Other traditional non-life</t>
  </si>
  <si>
    <r>
      <t>b</t>
    </r>
    <r>
      <rPr>
        <vertAlign val="subscript"/>
        <sz val="11"/>
        <color theme="1"/>
        <rFont val="Calibri"/>
        <family val="2"/>
        <scheme val="minor"/>
      </rPr>
      <t>4</t>
    </r>
    <r>
      <rPr>
        <sz val="10"/>
        <color theme="1"/>
        <rFont val="Arial"/>
        <family val="2"/>
      </rPr>
      <t/>
    </r>
  </si>
  <si>
    <t>BCR Non-traditional</t>
  </si>
  <si>
    <t>Variable annuities</t>
  </si>
  <si>
    <r>
      <t>c</t>
    </r>
    <r>
      <rPr>
        <vertAlign val="subscript"/>
        <sz val="11"/>
        <color theme="1"/>
        <rFont val="Calibri"/>
        <family val="2"/>
        <scheme val="minor"/>
      </rPr>
      <t>1</t>
    </r>
  </si>
  <si>
    <t>Mortgage insurance</t>
  </si>
  <si>
    <r>
      <t>c</t>
    </r>
    <r>
      <rPr>
        <vertAlign val="subscript"/>
        <sz val="11"/>
        <color theme="1"/>
        <rFont val="Calibri"/>
        <family val="2"/>
        <scheme val="minor"/>
      </rPr>
      <t>2</t>
    </r>
    <r>
      <rPr>
        <sz val="10"/>
        <color theme="1"/>
        <rFont val="Arial"/>
        <family val="2"/>
      </rPr>
      <t/>
    </r>
  </si>
  <si>
    <t>GICS &amp; Synthetic GICS</t>
  </si>
  <si>
    <r>
      <t>c</t>
    </r>
    <r>
      <rPr>
        <vertAlign val="subscript"/>
        <sz val="11"/>
        <color theme="1"/>
        <rFont val="Calibri"/>
        <family val="2"/>
        <scheme val="minor"/>
      </rPr>
      <t>3</t>
    </r>
    <r>
      <rPr>
        <sz val="10"/>
        <color theme="1"/>
        <rFont val="Arial"/>
        <family val="2"/>
      </rPr>
      <t/>
    </r>
  </si>
  <si>
    <t>Other non traditional</t>
  </si>
  <si>
    <r>
      <t>c</t>
    </r>
    <r>
      <rPr>
        <vertAlign val="subscript"/>
        <sz val="11"/>
        <color theme="1"/>
        <rFont val="Calibri"/>
        <family val="2"/>
        <scheme val="minor"/>
      </rPr>
      <t>4</t>
    </r>
    <r>
      <rPr>
        <sz val="10"/>
        <color theme="1"/>
        <rFont val="Arial"/>
        <family val="2"/>
      </rPr>
      <t/>
    </r>
  </si>
  <si>
    <t>BCR asset risk</t>
  </si>
  <si>
    <t>Total assets used as exposure in BCR capital charges</t>
  </si>
  <si>
    <t>Total assets used as credit risk exposure</t>
  </si>
  <si>
    <t>-of which investment grade credit risk</t>
  </si>
  <si>
    <r>
      <t>d</t>
    </r>
    <r>
      <rPr>
        <vertAlign val="subscript"/>
        <sz val="11"/>
        <color theme="1"/>
        <rFont val="Calibri"/>
        <family val="2"/>
        <scheme val="minor"/>
      </rPr>
      <t>1</t>
    </r>
  </si>
  <si>
    <t>-of which non investment grade credit risk</t>
  </si>
  <si>
    <r>
      <t>d</t>
    </r>
    <r>
      <rPr>
        <vertAlign val="subscript"/>
        <sz val="11"/>
        <color theme="1"/>
        <rFont val="Calibri"/>
        <family val="2"/>
        <scheme val="minor"/>
      </rPr>
      <t>2</t>
    </r>
    <r>
      <rPr>
        <sz val="10"/>
        <color theme="1"/>
        <rFont val="Arial"/>
        <family val="2"/>
      </rPr>
      <t/>
    </r>
  </si>
  <si>
    <r>
      <t>d</t>
    </r>
    <r>
      <rPr>
        <vertAlign val="subscript"/>
        <sz val="11"/>
        <color theme="1"/>
        <rFont val="Calibri"/>
        <family val="2"/>
        <scheme val="minor"/>
      </rPr>
      <t>3</t>
    </r>
    <r>
      <rPr>
        <sz val="10"/>
        <color theme="1"/>
        <rFont val="Arial"/>
        <family val="2"/>
      </rPr>
      <t/>
    </r>
  </si>
  <si>
    <t>BCR Non-Insurance</t>
  </si>
  <si>
    <t>Banking requirements</t>
  </si>
  <si>
    <t>Non-Regulated Banking requirement</t>
  </si>
  <si>
    <t>Securities and other requirements</t>
  </si>
  <si>
    <t>Information on BCR asset exposures</t>
  </si>
  <si>
    <t>Related to insurance activities</t>
  </si>
  <si>
    <t>of which investment grade assets</t>
  </si>
  <si>
    <t xml:space="preserve">Cash and other liquid assets not for investment purposes </t>
  </si>
  <si>
    <t>Investment income receivable / accrued</t>
  </si>
  <si>
    <t xml:space="preserve">Fixed Interest Government Bonds </t>
  </si>
  <si>
    <t xml:space="preserve">Fixed interest Corporate Bonds </t>
  </si>
  <si>
    <t xml:space="preserve">Fixed Interest Municipal Bonds </t>
  </si>
  <si>
    <t>Variable Interest Government Bonds</t>
  </si>
  <si>
    <t xml:space="preserve">Variable interest Corporate Bonds </t>
  </si>
  <si>
    <t xml:space="preserve">Variable Interest Municipal Bonds </t>
  </si>
  <si>
    <t>Convertible notes</t>
  </si>
  <si>
    <t>Residential Mortgage Loans</t>
  </si>
  <si>
    <t>Nonresidential Mortgage Loans</t>
  </si>
  <si>
    <t xml:space="preserve">Other (non-mortgage) Loans </t>
  </si>
  <si>
    <t>Loans to policyholders</t>
  </si>
  <si>
    <t>Residential Mortgage Backed Securities</t>
  </si>
  <si>
    <t xml:space="preserve">Commercial Mortgage Backed Securities </t>
  </si>
  <si>
    <t xml:space="preserve">Insurance Linked Securities </t>
  </si>
  <si>
    <t xml:space="preserve">Other structured securities </t>
  </si>
  <si>
    <t>Equities</t>
  </si>
  <si>
    <t>Hedge Funds</t>
  </si>
  <si>
    <t>Private equity</t>
  </si>
  <si>
    <t>Real estate (for investment purposes)</t>
  </si>
  <si>
    <t>Infrastructure</t>
  </si>
  <si>
    <t>Other investment assets</t>
  </si>
  <si>
    <t>Assets held in separate accounts</t>
  </si>
  <si>
    <t xml:space="preserve">Reinsurance recoverables </t>
  </si>
  <si>
    <t>Other reinsurance assets</t>
  </si>
  <si>
    <t>Real estate (for own use)</t>
  </si>
  <si>
    <t>Information on BCR insurance segments exposures</t>
  </si>
  <si>
    <t>Net current estimates</t>
  </si>
  <si>
    <t>Gross Written Premium</t>
  </si>
  <si>
    <t>Net Written Premium</t>
  </si>
  <si>
    <t>Gross Sums insured</t>
  </si>
  <si>
    <t>Net Sums insured</t>
  </si>
  <si>
    <t>Net risk in force</t>
  </si>
  <si>
    <t>Notional Amount or Account Value</t>
  </si>
  <si>
    <t>Total insurance liabilities</t>
  </si>
  <si>
    <t>Total life insurance</t>
  </si>
  <si>
    <t>Life Insurance - Traditional</t>
  </si>
  <si>
    <t>Protection - Life</t>
  </si>
  <si>
    <t>Protection - health</t>
  </si>
  <si>
    <t>Protection - other</t>
  </si>
  <si>
    <t>Savings without guarantees or living benefits</t>
  </si>
  <si>
    <t>Other traditional</t>
  </si>
  <si>
    <t>Life insurance - Non-traditional</t>
  </si>
  <si>
    <t>Separate accounts with guarantees (including VAs)</t>
  </si>
  <si>
    <t>of which Investment with portfolio choice and guarantee</t>
  </si>
  <si>
    <t xml:space="preserve">of which guarantee </t>
  </si>
  <si>
    <t>Guaranteed Investment Contracts (GICs)</t>
  </si>
  <si>
    <t>Synthetic GICs</t>
  </si>
  <si>
    <t>Other non-traditional</t>
  </si>
  <si>
    <t>Total Non-Life</t>
  </si>
  <si>
    <t>Non-Life Insurance - Traditional</t>
  </si>
  <si>
    <t>Property Damage</t>
  </si>
  <si>
    <t>Non-proportional property, APH and motor damage (including property catastrophe)</t>
  </si>
  <si>
    <t>Catastrophe Reinsurance</t>
  </si>
  <si>
    <t>APH - Accident, protection and health</t>
  </si>
  <si>
    <t>Other liability</t>
  </si>
  <si>
    <t>Non-proportional liability</t>
  </si>
  <si>
    <t xml:space="preserve">Marine, Aviation and Transport (MAT) </t>
  </si>
  <si>
    <t>Non-proportional MAT</t>
  </si>
  <si>
    <t>Other traditional - short-tail</t>
  </si>
  <si>
    <t>Other traditional - medium-tail</t>
  </si>
  <si>
    <t>Other traditional - long-tail</t>
  </si>
  <si>
    <t>Non-life Insurance - Non-Traditional</t>
  </si>
  <si>
    <t>Commercial credit insurance including Suretyship</t>
  </si>
  <si>
    <t>Other non-traditional non-life insurance</t>
  </si>
  <si>
    <t>BCR Balance sheet</t>
  </si>
  <si>
    <t>Information on the balance sheet used for BCR purposes</t>
  </si>
  <si>
    <t>GAAP valuation</t>
  </si>
  <si>
    <t>Market adjusted valuation</t>
  </si>
  <si>
    <t>Consolidated</t>
  </si>
  <si>
    <t>Other than Related to insurance activities</t>
  </si>
  <si>
    <t>Adjustments  due to adjusted valuation</t>
  </si>
  <si>
    <t>Assets</t>
  </si>
  <si>
    <t>[2=1-3]</t>
  </si>
  <si>
    <t>[4=3-5]</t>
  </si>
  <si>
    <t>[6=5+2]</t>
  </si>
  <si>
    <t>I - TOTAL ASSETS</t>
  </si>
  <si>
    <t xml:space="preserve">Investments  </t>
  </si>
  <si>
    <t>Current tax assets</t>
  </si>
  <si>
    <t>Deferred tax assets</t>
  </si>
  <si>
    <t>Other deferred levies</t>
  </si>
  <si>
    <t xml:space="preserve">Deferred acquisition costs </t>
  </si>
  <si>
    <t>of which: non-life</t>
  </si>
  <si>
    <t>of which: life</t>
  </si>
  <si>
    <t>Other non-investment assets</t>
  </si>
  <si>
    <t xml:space="preserve">Goodwill </t>
  </si>
  <si>
    <t>Intangibles</t>
  </si>
  <si>
    <t>On balance sheet value of market-related off-balance sheet exposures</t>
  </si>
  <si>
    <t>On balance sheet value of non-market-related off-balance sheet exposures</t>
  </si>
  <si>
    <t>II - Total insurance liabilities</t>
  </si>
  <si>
    <t>III - Total non-insurance liabilities</t>
  </si>
  <si>
    <t>Accruals</t>
  </si>
  <si>
    <t>Amounts due on reinsurance contracts</t>
  </si>
  <si>
    <t>Current tax liability</t>
  </si>
  <si>
    <t>Deferred tax liability</t>
  </si>
  <si>
    <t>Provisions</t>
  </si>
  <si>
    <t>Deficit in defined benefit pensions</t>
  </si>
  <si>
    <t>Borrowings</t>
  </si>
  <si>
    <t>Hybrid securities</t>
  </si>
  <si>
    <t>Other Liabilities /Payables</t>
  </si>
  <si>
    <t>IV - Total equity</t>
  </si>
  <si>
    <t>Total shareholders' equity attributable to shareholders of the holding company</t>
  </si>
  <si>
    <t>Accumulated foreign currency translation adjustment reported in OCI</t>
  </si>
  <si>
    <t>Accumulated unrealized gains (losses) on AFS equity securities reported in OCI</t>
  </si>
  <si>
    <t>Accumulated unrealized gains (losses) on AFS debt securities reported in OCI</t>
  </si>
  <si>
    <t>Accumulated unrealized gains on own-use property reported in OCI (revaluation model)</t>
  </si>
  <si>
    <t>Accumulated changes in liabilities under shadow accounting reported in OCI</t>
  </si>
  <si>
    <t>Accumulated fair value gains (losses) on the effective portion of cash flow hedges reported in OCI</t>
  </si>
  <si>
    <t>Accumulated defined benefit remeasurements reported in OCI</t>
  </si>
  <si>
    <t>Other accumulated elements reported in OCI - 1</t>
  </si>
  <si>
    <t>Other accumulated elements reported in OCI - 2</t>
  </si>
  <si>
    <t>Ordinary shares</t>
  </si>
  <si>
    <t>Preference shares</t>
  </si>
  <si>
    <t>Surplus funds</t>
  </si>
  <si>
    <t>Reserves</t>
  </si>
  <si>
    <t>Unrestricted</t>
  </si>
  <si>
    <t>Can be appropriated under supervisory approval</t>
  </si>
  <si>
    <t>Other restricted reserves</t>
  </si>
  <si>
    <t>Retained earnings at the end of the period</t>
  </si>
  <si>
    <t>Minority /non-controlling interests</t>
  </si>
  <si>
    <t>Asset Adjustment Offset</t>
  </si>
  <si>
    <t>Deferred Expenses (e.g. DAC, VOBA) Adjustment Offset</t>
  </si>
  <si>
    <t>Liabilities Adjustment Offset (Net of GAAP-MoCE)</t>
  </si>
  <si>
    <t>Deferred Tax Adjustment Offset</t>
  </si>
  <si>
    <t>Other</t>
  </si>
  <si>
    <t>V - Margins Over Current Estimates (GAAP-MOCE)</t>
  </si>
  <si>
    <t>Check balance of balance sheet [I - II - III - IV - V = 0]</t>
  </si>
  <si>
    <t>Assets less liabilities (= I - II - III)</t>
  </si>
  <si>
    <t>Difference between consolidated and insurance assets</t>
  </si>
  <si>
    <t>Total assets</t>
  </si>
  <si>
    <t>of which:</t>
  </si>
  <si>
    <t>Related to regulated banking activities</t>
  </si>
  <si>
    <t>Related to unregulated banking activities</t>
  </si>
  <si>
    <t>Related to securities activities</t>
  </si>
  <si>
    <t>Related to non-financial activities</t>
  </si>
  <si>
    <t>Consolidation difference</t>
  </si>
  <si>
    <t>Detailed information on the insurance liabilities according to the BCR segmentation</t>
  </si>
  <si>
    <t>Gross liabilities</t>
  </si>
  <si>
    <t>Gross current estimates</t>
  </si>
  <si>
    <t>Reinsurance recoverable</t>
  </si>
  <si>
    <t xml:space="preserve"> Net current estimates</t>
  </si>
  <si>
    <t>Insurance Liabilities</t>
  </si>
  <si>
    <t>UPP/Pre claims</t>
  </si>
  <si>
    <t>Claims</t>
  </si>
  <si>
    <t>Total</t>
  </si>
  <si>
    <t>BCR Capital resources</t>
  </si>
  <si>
    <t>Qualifying financial instruments</t>
  </si>
  <si>
    <t>Total qualifying financial instruments (CORE)</t>
  </si>
  <si>
    <t>Total qualifying financial instruments (Additional)</t>
  </si>
  <si>
    <t>Potential Capital Elements Other than Financial Instruments</t>
  </si>
  <si>
    <t>Core</t>
  </si>
  <si>
    <t>Asset adjustments</t>
  </si>
  <si>
    <t>Additional</t>
  </si>
  <si>
    <t>Restricted reserves (e.g. appropriated surplus)</t>
  </si>
  <si>
    <t>50% of each DB pension plan surplus asset, net of any eligible DTLs, that cannot be easily and promptly accessed and excluded from Tier 1 Capital</t>
  </si>
  <si>
    <t>DTAs, net of associated DTLs, which do rely on future profitability and are excluded from Tier 1 Capital - Realisable value</t>
  </si>
  <si>
    <t>Computer software intangibles, net of amortization and associated DTLs, excluded from Tier 1 Capital - Realisable value</t>
  </si>
  <si>
    <t>Other potential qualifying capital elements other than capital instruments - Specify</t>
  </si>
  <si>
    <t>Exclusions and adjustments</t>
  </si>
  <si>
    <t>Goodwill, net of associated DTLs</t>
  </si>
  <si>
    <t>Intangibles Assets, net of associated DTLs</t>
  </si>
  <si>
    <t>Computer Software Intangibles, net of associated DTLs</t>
  </si>
  <si>
    <t>DTAs, net of DTLs, that rely on the future profitability of the IAIG</t>
  </si>
  <si>
    <t>DB pension plan surplus asset, net of DTL, that cannot be easily and promptly accessed</t>
  </si>
  <si>
    <t>Reciprocal holdings arranged either directly or indirectly between financial institutions and that artificially inflate the Core capital position of the IAIG</t>
  </si>
  <si>
    <t>Direct investments in own Core capital instruments</t>
  </si>
  <si>
    <t>Reinsurance assets arising from non-qualifying reinsurance</t>
  </si>
  <si>
    <t>Value of secured (encumbered) assets in excess of the value of relevant liabilities and capital requirements</t>
  </si>
  <si>
    <t>Other (specify)</t>
  </si>
  <si>
    <t>Exclusions from Additional capital</t>
  </si>
  <si>
    <t>Reciprocal cross holdings arranged either directly or indirectly between financial insitutions and that artificially inflate the Additional capital of the IAIG</t>
  </si>
  <si>
    <t>Direct investments in own Tier 2 capital instruments</t>
  </si>
  <si>
    <t>Adjustments</t>
  </si>
  <si>
    <t>Net DB pension fund that is an asset on the IAIG's balance sheet and that cannot be easily and promptly accessed</t>
  </si>
  <si>
    <t>Less: Associated deferred tax liabilities</t>
  </si>
  <si>
    <t>DB pension fund that is an asset on the IAIG's balance sheet, net of DTL, and that cannot be easily and promptly accessed.</t>
  </si>
  <si>
    <t>DTAs, net of associated DTLs (carrying amount)</t>
  </si>
  <si>
    <t>Less: DTAs, net of associated DTLs, that do not rely on future profitability and are not excluded from Tier 1 Capital</t>
  </si>
  <si>
    <t>DTAs, net of associated DTLs, that do rely on future profitability and excluded from Tier 1 Capital</t>
  </si>
  <si>
    <t>Less: Amount in excess of realisable value</t>
  </si>
  <si>
    <t>DTAs, net of associated DTLs, that do rely on future profitability and are excluded from Tier 1 Capital - Realisable value</t>
  </si>
  <si>
    <t xml:space="preserve">Less: Associated deferred tax liabilities </t>
  </si>
  <si>
    <t>Goodwill, net of DTL</t>
  </si>
  <si>
    <t>Intangible Assets</t>
  </si>
  <si>
    <t>Intangibles Assets, net of DTL</t>
  </si>
  <si>
    <t>Computer software intangibles, net of amortisation and associated DTLs</t>
  </si>
  <si>
    <t>Less: Amount in excess of realizable value</t>
  </si>
  <si>
    <t>Computer software intangibles, net of amortisation and associated DTLs - Realizable value</t>
  </si>
  <si>
    <t>Total secured (encumbered) assets</t>
  </si>
  <si>
    <t>Less: the value of the IAIG’s on-balance sheet liabilities secured by the (encumbered) assets</t>
  </si>
  <si>
    <t>Less: the value of the IAIG’s incremental supervisory capital requirements for liabilities secured by the (encumbered) assets</t>
  </si>
  <si>
    <t>Less:  the value of the IAIG’s incremental supervisory capital requirements for secured (encumbered) assets</t>
  </si>
  <si>
    <t>Total net secured (encumbered) assets deduction</t>
  </si>
  <si>
    <t>ICS Financial Instrument Categories</t>
  </si>
  <si>
    <t>Type of Subsidiary</t>
  </si>
  <si>
    <t>BCR qualifying financial instruments</t>
  </si>
  <si>
    <t>CORE</t>
  </si>
  <si>
    <t>Insurance</t>
  </si>
  <si>
    <t>Tier 1 - No Limit</t>
  </si>
  <si>
    <t>Regulated banking</t>
  </si>
  <si>
    <t>TOTAL QUALIFYING FINANCIAL INSTRUMENTS (CORE)</t>
  </si>
  <si>
    <t>TOTAL QUALIFYING FINANCIAL INSTRUMENTS (ADDITIONAL)</t>
  </si>
  <si>
    <t>Tier 1 - Limited</t>
  </si>
  <si>
    <t>Unregulated</t>
  </si>
  <si>
    <t>Instruments that meet the criteria for classification as Core capital</t>
  </si>
  <si>
    <t>Instruments that meet the criteria for classification as Additional capital</t>
  </si>
  <si>
    <t>Tier 2 - Paid-Up</t>
  </si>
  <si>
    <t>The cells in columns BH to CF below are local calculations - NOT input cells!</t>
  </si>
  <si>
    <t>Core capital instruments issued by consolidated subsidiaries to third parties (non-controlling interests)</t>
  </si>
  <si>
    <t>Additional capital instruments issued by consolidated subsidiaries to third parties (non-controlling interests)</t>
  </si>
  <si>
    <t>Non-Qualifying</t>
  </si>
  <si>
    <t>Share Premium resulting from the issuance of a Core instrument</t>
  </si>
  <si>
    <t>Share Premium resulting from the issuance of an Additional instrument</t>
  </si>
  <si>
    <t>ICS qualifying financial instruments</t>
  </si>
  <si>
    <t>Tier 1</t>
  </si>
  <si>
    <t>Tier 2</t>
  </si>
  <si>
    <t>TOTAL QUALIFYING FINANCIAL INSTRUMENTS (Tier 1)</t>
  </si>
  <si>
    <t>TOTAL QUALIFYING FINANCIAL INSTRUMENTS (Tier 2)</t>
  </si>
  <si>
    <t>Instruments that meet the criteria for classification as Tier 1 for which there is no limit</t>
  </si>
  <si>
    <t>Instruments that meet the criteria for classification as Paid-Up Tier 2 capital resources</t>
  </si>
  <si>
    <t>Instruments that meet the criteria for classification as Tier 1 for which there is a limit</t>
  </si>
  <si>
    <t>Instruments that meet the criteria for classification as Non-Paid-Up Tier 2 capital resources</t>
  </si>
  <si>
    <t>Tier 1 capital instruments issued by consolidated subsidiaries to third parties (non-controlling interests)</t>
  </si>
  <si>
    <t>Tier 2 capital instruments issued by consolidated subsidiaries to third parties (non-controlling interests)</t>
  </si>
  <si>
    <t>Criterion references as set out in Technical Specifications (ICS) and BCR Document (BCR)</t>
  </si>
  <si>
    <t>Share Premium resulting from the issuance of a Tier 1 instrument and other Contributed Surplus</t>
  </si>
  <si>
    <t>Share Premium resulting from the issuance of a Paid-Up Tier 2 instrument</t>
  </si>
  <si>
    <t>Offset of potential double count of share premium</t>
  </si>
  <si>
    <t>BCR Core criterion =&gt;</t>
  </si>
  <si>
    <t>Ci., Cix.</t>
  </si>
  <si>
    <t>Cv.</t>
  </si>
  <si>
    <t>Cx., Cxi., Cxiii.</t>
  </si>
  <si>
    <t>Cii.</t>
  </si>
  <si>
    <t>Cvi., Cvii., Cviii.</t>
  </si>
  <si>
    <t>Civ.</t>
  </si>
  <si>
    <t>Ciii.</t>
  </si>
  <si>
    <t>Cxii.</t>
  </si>
  <si>
    <t>Share Premium included within Contributed Surplus item of the balance sheet</t>
  </si>
  <si>
    <t>BCR Additional criterion =&gt;</t>
  </si>
  <si>
    <t>Ai.</t>
  </si>
  <si>
    <t>Aii.</t>
  </si>
  <si>
    <t>Av., Avi.</t>
  </si>
  <si>
    <t>Aiv.</t>
  </si>
  <si>
    <t>Aiii.</t>
  </si>
  <si>
    <t>Av.</t>
  </si>
  <si>
    <t>Avii.</t>
  </si>
  <si>
    <t>Starts</t>
  </si>
  <si>
    <t>Years</t>
  </si>
  <si>
    <t>ICS Tier 1 unlimited criterion =&gt;</t>
  </si>
  <si>
    <t>i.</t>
  </si>
  <si>
    <t>ii.</t>
  </si>
  <si>
    <t>iii.</t>
  </si>
  <si>
    <t>iv.</t>
  </si>
  <si>
    <t>v.</t>
  </si>
  <si>
    <t>vi.</t>
  </si>
  <si>
    <t>vii.</t>
  </si>
  <si>
    <t>viii.</t>
  </si>
  <si>
    <t>ix.</t>
  </si>
  <si>
    <t>x.</t>
  </si>
  <si>
    <t>Name of Issuer</t>
  </si>
  <si>
    <t xml:space="preserve">Type of Capital Instrument                   </t>
  </si>
  <si>
    <t xml:space="preserve">Instrument Identifier               (eg Series A) </t>
  </si>
  <si>
    <t>Intragroup Issuance to the Parent of the Head of the IAIG                              (Y / N)</t>
  </si>
  <si>
    <t>Is this a non-controlling interest?
(Y /N )</t>
  </si>
  <si>
    <t>To whom is the instrument subordinate?</t>
  </si>
  <si>
    <t>Is instrument Paid-Up?                              (Y / N)</t>
  </si>
  <si>
    <t>Location on Balance Sheet 
(Equity / Liability)</t>
  </si>
  <si>
    <t>Date</t>
  </si>
  <si>
    <t xml:space="preserve">years until effective maturity </t>
  </si>
  <si>
    <t>Incentives to Redeem</t>
  </si>
  <si>
    <t xml:space="preserve">Distributions </t>
  </si>
  <si>
    <t>Conversion Feature</t>
  </si>
  <si>
    <t>Write-down Feature</t>
  </si>
  <si>
    <t>Principal Loss Abosorbency of Replacement Instruments</t>
  </si>
  <si>
    <t>Subject to review/approval by supervisor prior to redemption                                (Y / N)</t>
  </si>
  <si>
    <t>Face Amount (Par Value)</t>
  </si>
  <si>
    <t>Share Premium Associated with the Issuance</t>
  </si>
  <si>
    <t>Is there a guarantee or feature associated with the instrument that renders it encumbered?
(Y / N)</t>
  </si>
  <si>
    <t>Has either the IAIG or a related party purchased or funded purchase of instrument?
(Y / N)</t>
  </si>
  <si>
    <t>Is repurchase of the instrument required to be funded out of proceeds of new issuance if repurchase occurs less than 5 years after issuance?
(Y / N)</t>
  </si>
  <si>
    <t>Are distributions linked to credit standing or financial condition of the IAIG?
(Y / N)</t>
  </si>
  <si>
    <t>Does the instrument contain any features that hinder re-capitalisation?
(Y / N)</t>
  </si>
  <si>
    <t>If issued out of an SPV, does item meet requirements set out in Technical Specifications for Tier 1?
(Y / N or N/A)</t>
  </si>
  <si>
    <t>If issued out of an SPV, does item meet requirements set out in Technical Specifications for Tier 2?
(Y / N or N/A)</t>
  </si>
  <si>
    <t>Does the instrument give holders the right to accelerate repayment?
(Y / N)</t>
  </si>
  <si>
    <t>BCR Classification and Amount</t>
  </si>
  <si>
    <t>ICS Classification and Amount</t>
  </si>
  <si>
    <t>ICS Tier 1 limited criterion =&gt;</t>
  </si>
  <si>
    <t>xi.</t>
  </si>
  <si>
    <t>xii.</t>
  </si>
  <si>
    <t>xiii.</t>
  </si>
  <si>
    <t>xiv.</t>
  </si>
  <si>
    <t>Special conditions near maturity (e.g. Amortization, Lock-in)</t>
  </si>
  <si>
    <t>Additional Information on Non-Controlling Interests</t>
  </si>
  <si>
    <t>ICS Tier 2 Paid-Up criterion =&gt;</t>
  </si>
  <si>
    <t>BCR Error Checks</t>
  </si>
  <si>
    <t>BCR Classification</t>
  </si>
  <si>
    <t>ICS Error Checks</t>
  </si>
  <si>
    <t>ICS Classification</t>
  </si>
  <si>
    <t>Auxiliary calculation (linear amortization)</t>
  </si>
  <si>
    <t>Issued</t>
  </si>
  <si>
    <t>Maturity</t>
  </si>
  <si>
    <t>First Call</t>
  </si>
  <si>
    <t>Y / N</t>
  </si>
  <si>
    <t>Specify                   (eg Step-up)</t>
  </si>
  <si>
    <r>
      <t xml:space="preserve">Date of Earliest Incentive </t>
    </r>
    <r>
      <rPr>
        <sz val="8"/>
        <color indexed="8"/>
        <rFont val="Arial"/>
        <family val="2"/>
      </rPr>
      <t>(DD/MM/YYYY)</t>
    </r>
  </si>
  <si>
    <t>Cumulative
Y/N</t>
  </si>
  <si>
    <t>Cancellation Y/N</t>
  </si>
  <si>
    <t>Distribution Rate (%)</t>
  </si>
  <si>
    <t>Specify if feature results in a conversion to common /ordinary shares or other</t>
  </si>
  <si>
    <t>Specify percentage of write down which reduces the value of the instrument and increases capital resources</t>
  </si>
  <si>
    <t>If this instrument is replaced, will the new instrument be required to contain a principal loss absorbency mechanism?</t>
  </si>
  <si>
    <t>Will the mechanism be a conversion to common shares, a principal write-down or other?</t>
  </si>
  <si>
    <t>Type</t>
  </si>
  <si>
    <t>Period (#years)</t>
  </si>
  <si>
    <t>BCR Amount</t>
  </si>
  <si>
    <t>ICS Amount</t>
  </si>
  <si>
    <t>Subsidiary Name</t>
  </si>
  <si>
    <t>Tier 1 Capital Instruments issued by the subsidiary to third parties</t>
  </si>
  <si>
    <t>Other Tier 1 capital elements attributable to third parties</t>
  </si>
  <si>
    <t>Tier 2 Capital Instruments issued by the subsidiary to third parties</t>
  </si>
  <si>
    <t>Other Tier 2 capital elements attributable to third parties</t>
  </si>
  <si>
    <t>Capital Requirement of the IAIG per the IAIG's local jurisdictional rules</t>
  </si>
  <si>
    <t>Capital Requirement of the subsidiary per the subsidiary's local jurisdictional rules</t>
  </si>
  <si>
    <t>Tier 1 capital of the subsidiary</t>
  </si>
  <si>
    <t>Tier 2 capital of the subsidiary</t>
  </si>
  <si>
    <t>Brief description of criteria =&gt;</t>
  </si>
  <si>
    <t>The instrument is fully paid up</t>
  </si>
  <si>
    <t>Issued capital first to absorb losses</t>
  </si>
  <si>
    <t>Most subordinated instrument</t>
  </si>
  <si>
    <t>Is the instrument perpetual?</t>
  </si>
  <si>
    <t>Any expectation to repurchase or cancel instrument?</t>
  </si>
  <si>
    <t>Are distributions obligatory?</t>
  </si>
  <si>
    <t>Distributions are paid out of distributable items</t>
  </si>
  <si>
    <t>Is instrument encumbered?</t>
  </si>
  <si>
    <t>IAIG/related party has not purchased or funded purchase of instrument</t>
  </si>
  <si>
    <t>Paid-in amount is recognised as equity capital</t>
  </si>
  <si>
    <t>Instrument is subordinated to policyholders and Tier 2 but senior to unlimited Tier 1</t>
  </si>
  <si>
    <t>Instrument only redeemable at option of issuer minimum 5 years from issue with supervisory approval</t>
  </si>
  <si>
    <t>Repurchase subject to prior supervisory approval and funded out of proceeds of new issuance (if less than 5 years after issuance)</t>
  </si>
  <si>
    <t>The IAIG has full discretion to cancel distributions</t>
  </si>
  <si>
    <t>Are distributions linked to credit standing or financial condition of the IAIG?</t>
  </si>
  <si>
    <t>Any features that hinder re-capitalisation?</t>
  </si>
  <si>
    <t>If issued out of an SPV, does item meet requirements set out in Tech Specs for Tier 1?</t>
  </si>
  <si>
    <t>Instrument is subordinated to policyholders and other non-subordinated creditors</t>
  </si>
  <si>
    <t>Instrument is subordinated to policyholders</t>
  </si>
  <si>
    <t>Instrument has initial maturity of at least 5 years and effective maturity as defined in Tech Specs</t>
  </si>
  <si>
    <t>Instrument's ability to absorb losses as it nears effective maturity captured as described in Tech Specs</t>
  </si>
  <si>
    <t>Instrument does not give holders the right to accelerate repayment</t>
  </si>
  <si>
    <t>If issued out of an SPV, does item meet requirements set out in Tech Specs for Tier 2?</t>
  </si>
  <si>
    <t>Does the instrument have any fixed servicing costs?</t>
  </si>
  <si>
    <t>ERROR check - Core</t>
  </si>
  <si>
    <t>ERROR check - Additional</t>
  </si>
  <si>
    <t>Decision - Core</t>
  </si>
  <si>
    <t>Decision - Additional</t>
  </si>
  <si>
    <t>ERROR check - Tier 1 unlimited</t>
  </si>
  <si>
    <t>ERROR check - Tier 1 limited</t>
  </si>
  <si>
    <t>ERROR check - Tier 2 Paid-Up</t>
  </si>
  <si>
    <t>Decision - Tier 1 unlimited</t>
  </si>
  <si>
    <t>Decision - Tier 1 limited</t>
  </si>
  <si>
    <t>Decision - Tier 2 Paid-Up</t>
  </si>
  <si>
    <t>Effective maturity</t>
  </si>
  <si>
    <t>Share</t>
  </si>
  <si>
    <t>Type of Financial Instrument                        (List)</t>
  </si>
  <si>
    <t>Subordination                       (List)</t>
  </si>
  <si>
    <t>Yes or No (List)</t>
  </si>
  <si>
    <t>List for Balance Sheet location</t>
  </si>
  <si>
    <t>Issue Date (list)</t>
  </si>
  <si>
    <t>Incentives to Redeem         (List)</t>
  </si>
  <si>
    <t>Conversion Feature        (List)</t>
  </si>
  <si>
    <t>Principal Loss Absorbency Mechanism       
(List)</t>
  </si>
  <si>
    <t>Type             (List)</t>
  </si>
  <si>
    <t>BCR Financial Instrument Categories</t>
  </si>
  <si>
    <t>Shares - Com/Ord</t>
  </si>
  <si>
    <t>Policyholders</t>
  </si>
  <si>
    <t>Y</t>
  </si>
  <si>
    <t>Step-Up</t>
  </si>
  <si>
    <t>Conversion to Common</t>
  </si>
  <si>
    <t>Amortization</t>
  </si>
  <si>
    <t>Shares - Pfds NC</t>
  </si>
  <si>
    <t>Policyholders, non-subordinated creditors and holders of Tier 2 instruments</t>
  </si>
  <si>
    <t>N</t>
  </si>
  <si>
    <t>Liability</t>
  </si>
  <si>
    <t>Principal Write-down</t>
  </si>
  <si>
    <t>Lock-In</t>
  </si>
  <si>
    <t>Shares - Pfds C</t>
  </si>
  <si>
    <t>Policyholders and non-subordinated creditors</t>
  </si>
  <si>
    <t>N/A</t>
  </si>
  <si>
    <t>Shares - Other</t>
  </si>
  <si>
    <t>Instrument is the most subordinate</t>
  </si>
  <si>
    <t>None</t>
  </si>
  <si>
    <t>Hybrid</t>
  </si>
  <si>
    <t>Instrument is not legally subordinated</t>
  </si>
  <si>
    <t>Surplus Notes</t>
  </si>
  <si>
    <t>Debt - Sub</t>
  </si>
  <si>
    <t>Debt - Snr</t>
  </si>
  <si>
    <t>Debt - Other</t>
  </si>
  <si>
    <t>Non paid-up capital resources elements</t>
  </si>
  <si>
    <t>BCR qualifying capital resources (additional)</t>
  </si>
  <si>
    <t>ICS qualifying capital resources</t>
  </si>
  <si>
    <t>Elements that meet the criteria for classification as Non-Paid-Up Tier 2 capital resources</t>
  </si>
  <si>
    <t>Descripton of the item as a non-paid-up item</t>
  </si>
  <si>
    <t>Description of the provider(s) of the item</t>
  </si>
  <si>
    <t>Is/are provider(s) a member or head of the IAIG? 
(Y / N)</t>
  </si>
  <si>
    <t>Date item entered into</t>
  </si>
  <si>
    <t>Expiry date 
(if any)</t>
  </si>
  <si>
    <t>Description of item this element will become on being paid up</t>
  </si>
  <si>
    <t>Amount of non-paid up item  recognised under regulatory capital rules</t>
  </si>
  <si>
    <t>Maximum amount of non-paid up item</t>
  </si>
  <si>
    <t>Is this item subject to supervisory approval or review? 
(Y / N)</t>
  </si>
  <si>
    <t>Is the item callable on demand?
(Y / N)</t>
  </si>
  <si>
    <t>When called, will the item become a Tier 1 or Tier 2 instrument or an element of Tier 1 capital as described in the Technical Specifications?
(Y / N)</t>
  </si>
  <si>
    <t>Is the item legally enforceable in each relevant jurisdication?
(Y / N)</t>
  </si>
  <si>
    <t>Is the counterparty to the contract able and willing to pay the agreed amounts when called by the IAIG?
(Y /N)</t>
  </si>
  <si>
    <t>Is the item undermined or rendered ineffective by encumbrances?
(Y / N)</t>
  </si>
  <si>
    <t>Is the IAIG required to notify the supervisor of any changes in circumstances which could affect approval of the item?
(Y / N)</t>
  </si>
  <si>
    <t>Period for which item can be recognised in non-paid-up form</t>
  </si>
  <si>
    <t>Valuation method for amount recognised, if not maximum amount</t>
  </si>
  <si>
    <t>Expected classification of paid-up item under BCR</t>
  </si>
  <si>
    <t>Expected classification of paid-up item under ICS</t>
  </si>
  <si>
    <t>Does item qualify as Non-Paid-Up Tier 2?
(Y / N)</t>
  </si>
  <si>
    <t>Type of Financial Instrument                        
(List)</t>
  </si>
  <si>
    <t>Letter of Credit</t>
  </si>
  <si>
    <t>Guarantee</t>
  </si>
  <si>
    <t>ICS Summary</t>
  </si>
  <si>
    <t>ICS Ratio</t>
  </si>
  <si>
    <t>Qualifying capital resources (CoC-MOCE) / ICS</t>
  </si>
  <si>
    <t>Qualifying capital resources (P-MOCE) / ICS</t>
  </si>
  <si>
    <r>
      <t>Summary Qualifying ICS Capital Resources</t>
    </r>
    <r>
      <rPr>
        <b/>
        <vertAlign val="superscript"/>
        <sz val="11"/>
        <rFont val="Arial"/>
        <family val="2"/>
      </rPr>
      <t>1</t>
    </r>
  </si>
  <si>
    <t>Qualifying ICS Capital Resources (CoC-MOCE)</t>
  </si>
  <si>
    <t>[1=5-3]</t>
  </si>
  <si>
    <t>Qualifying ICS Capital Resources (P-MOCE)</t>
  </si>
  <si>
    <t>[2=5-4]</t>
  </si>
  <si>
    <t>Consistent and comparable MOCE (cc-MOCE)</t>
  </si>
  <si>
    <t>Cost of capital approach (CoC-MOCE)</t>
  </si>
  <si>
    <t>Prudence approach (P-MOCE)</t>
  </si>
  <si>
    <t>Total Qualifying ICS Capital Resources before cc-MOCE</t>
  </si>
  <si>
    <t>[5=6+12]</t>
  </si>
  <si>
    <t>Net Tier 1 ICS Capital before cc-MOCE</t>
  </si>
  <si>
    <t>[6=8-7]</t>
  </si>
  <si>
    <t>Exclusions from Tier 1 Capital</t>
  </si>
  <si>
    <t xml:space="preserve">Gross Tier 1 Capital </t>
  </si>
  <si>
    <t>[8=9+10+11]</t>
  </si>
  <si>
    <t>Financial Instruments for which there is no limit</t>
  </si>
  <si>
    <t>Financial Instruments for which there is a limit</t>
  </si>
  <si>
    <t>Net Tier 2 ICS Capital</t>
  </si>
  <si>
    <t>[12=14-13]</t>
  </si>
  <si>
    <t>Exclusions from Tier 2 Capital</t>
  </si>
  <si>
    <t xml:space="preserve">Gross Tier 2 Capital </t>
  </si>
  <si>
    <t>[14=15+16+17]</t>
  </si>
  <si>
    <t>Paid-Up Tier 2 Financial Instruments</t>
  </si>
  <si>
    <t>Non-Paid-Up Tier 2 Financial Instruments</t>
  </si>
  <si>
    <r>
      <rPr>
        <vertAlign val="superscript"/>
        <sz val="10"/>
        <color theme="1"/>
        <rFont val="Arial Narrow"/>
        <family val="2"/>
      </rPr>
      <t>1.</t>
    </r>
    <r>
      <rPr>
        <sz val="10"/>
        <color theme="1"/>
        <rFont val="Arial Narrow"/>
        <family val="2"/>
      </rPr>
      <t xml:space="preserve"> ICS Capital Resources are calculated prior to the application of capital composition limits.</t>
    </r>
  </si>
  <si>
    <t>Non insurance requirements</t>
  </si>
  <si>
    <t>Factor</t>
  </si>
  <si>
    <t>Notional tax adjustment</t>
  </si>
  <si>
    <t>ICS after notional tax adjustment</t>
  </si>
  <si>
    <t>Consolidated effective  tax rate</t>
  </si>
  <si>
    <t>%</t>
  </si>
  <si>
    <t>Potential double count of management actions</t>
  </si>
  <si>
    <t>ICS with a ceiling on the effect of management actions</t>
  </si>
  <si>
    <t>Effect of management actions (diversified)</t>
  </si>
  <si>
    <t>Liabilities for future bonuses or other discretionary benefits</t>
  </si>
  <si>
    <t>Summary of ICS Risks</t>
  </si>
  <si>
    <t>Before management actions</t>
  </si>
  <si>
    <t>After management actions</t>
  </si>
  <si>
    <t>After diversification</t>
  </si>
  <si>
    <t>Diversification calculation</t>
  </si>
  <si>
    <t>Correlation matrix at ICS level</t>
  </si>
  <si>
    <t>Details</t>
  </si>
  <si>
    <t>[1=f(2..6)+7]</t>
  </si>
  <si>
    <t>Non-life</t>
  </si>
  <si>
    <t>Life</t>
  </si>
  <si>
    <t>Market</t>
  </si>
  <si>
    <t>Credit</t>
  </si>
  <si>
    <t>Insurance risks</t>
  </si>
  <si>
    <t>Market risks</t>
  </si>
  <si>
    <t>Non-life type risk</t>
  </si>
  <si>
    <t>`</t>
  </si>
  <si>
    <t>Non-life risk</t>
  </si>
  <si>
    <t>NT mortgage</t>
  </si>
  <si>
    <t>NT credit</t>
  </si>
  <si>
    <t>Summary of ICS non-life type risks</t>
  </si>
  <si>
    <t>Property-like</t>
  </si>
  <si>
    <t>Liability-like</t>
  </si>
  <si>
    <t>NT other</t>
  </si>
  <si>
    <t>Risk factors per buckets</t>
  </si>
  <si>
    <t>Correlation matrix for geographical diversification</t>
  </si>
  <si>
    <t>ICS.NL.Corr.Areas</t>
  </si>
  <si>
    <t>Correlation between</t>
  </si>
  <si>
    <t>Correlation matrix between categories</t>
  </si>
  <si>
    <t>ICS.NL.Corr.Categ</t>
  </si>
  <si>
    <t>Bucket</t>
  </si>
  <si>
    <t>[P]remium</t>
  </si>
  <si>
    <t>[R]eserve</t>
  </si>
  <si>
    <t>EEA &amp; Switzerland</t>
  </si>
  <si>
    <t>USA &amp; Canada</t>
  </si>
  <si>
    <t>Japan</t>
  </si>
  <si>
    <t>China</t>
  </si>
  <si>
    <t>Other developed markets</t>
  </si>
  <si>
    <t>Emerging markets</t>
  </si>
  <si>
    <t>premium and reserve</t>
  </si>
  <si>
    <t>Diversified ICS Risks</t>
  </si>
  <si>
    <t>ICS.NL.CategMapping</t>
  </si>
  <si>
    <t>Detailed information for</t>
  </si>
  <si>
    <t>Risk of</t>
  </si>
  <si>
    <t>Net earned premium</t>
  </si>
  <si>
    <t>Net current estimate</t>
  </si>
  <si>
    <t>Used parameters</t>
  </si>
  <si>
    <t>Buckets</t>
  </si>
  <si>
    <t>segment</t>
  </si>
  <si>
    <t>FY -1</t>
  </si>
  <si>
    <t>FY</t>
  </si>
  <si>
    <t>FY +1</t>
  </si>
  <si>
    <t>FY (undisc)</t>
  </si>
  <si>
    <t>Premium</t>
  </si>
  <si>
    <t>Reserve</t>
  </si>
  <si>
    <t>Correl</t>
  </si>
  <si>
    <t>[P]</t>
  </si>
  <si>
    <t>[R]</t>
  </si>
  <si>
    <t>[1 = f(2 , 7)]</t>
  </si>
  <si>
    <t>[2 = max(4,5)]</t>
  </si>
  <si>
    <t>Medical expense insurance</t>
  </si>
  <si>
    <t>short tail</t>
  </si>
  <si>
    <t>Income protection</t>
  </si>
  <si>
    <t>long tail</t>
  </si>
  <si>
    <t>Workers' Compensation</t>
  </si>
  <si>
    <t>Motor vehicle liability - Motor third party liability</t>
  </si>
  <si>
    <t>medium tail</t>
  </si>
  <si>
    <t>Motor, other classes</t>
  </si>
  <si>
    <t>Marine, aviation and transport</t>
  </si>
  <si>
    <t>Fire and other damage</t>
  </si>
  <si>
    <t>General liability - third party liability</t>
  </si>
  <si>
    <t>Credit and suretyship</t>
  </si>
  <si>
    <t>Legal expenses</t>
  </si>
  <si>
    <t>Assistance</t>
  </si>
  <si>
    <t>Miscellaneous financial loss</t>
  </si>
  <si>
    <t>Non-proportional health reinsurance</t>
  </si>
  <si>
    <t>Non-Proportional Casualty reinsurance</t>
  </si>
  <si>
    <t>Non-proportional marine, aviation and transport reinsurance</t>
  </si>
  <si>
    <t>Non-Proportional property reinsurance</t>
  </si>
  <si>
    <t>Canada</t>
  </si>
  <si>
    <t>Property - personal</t>
  </si>
  <si>
    <t>Home Warranty</t>
  </si>
  <si>
    <t>Product Warranty</t>
  </si>
  <si>
    <t>Property - commercial</t>
  </si>
  <si>
    <t>Aircraft</t>
  </si>
  <si>
    <t>Automobile - liability/personal accident</t>
  </si>
  <si>
    <t>Automobile - other</t>
  </si>
  <si>
    <t>Boiler and Machinery</t>
  </si>
  <si>
    <t>Equipment Warranty</t>
  </si>
  <si>
    <t>Credit Insurance</t>
  </si>
  <si>
    <t>Credit Protection</t>
  </si>
  <si>
    <t>Fidelity</t>
  </si>
  <si>
    <t>Hail</t>
  </si>
  <si>
    <t>Legal Expenses</t>
  </si>
  <si>
    <t>Mortgage</t>
  </si>
  <si>
    <t>Surety</t>
  </si>
  <si>
    <t>Title</t>
  </si>
  <si>
    <t>Marine</t>
  </si>
  <si>
    <t>Accident and Sickness</t>
  </si>
  <si>
    <t>Other Approved Products</t>
  </si>
  <si>
    <t>US</t>
  </si>
  <si>
    <t>Auto physical damage</t>
  </si>
  <si>
    <t xml:space="preserve">Homeowners/Farmowners </t>
  </si>
  <si>
    <t>Special property</t>
  </si>
  <si>
    <t>Private passenger auto liability/medical</t>
  </si>
  <si>
    <t>Commercial auto/truck liability/medical</t>
  </si>
  <si>
    <t>Worker's compensation</t>
  </si>
  <si>
    <t>Commercial multi-peril (liability)</t>
  </si>
  <si>
    <t>Commercial multi-peril (property)</t>
  </si>
  <si>
    <t>Medical professional liability (occ + claims made)</t>
  </si>
  <si>
    <t>Other Liability–Occurrence</t>
  </si>
  <si>
    <t xml:space="preserve">Other Liability – Claims-Made </t>
  </si>
  <si>
    <t>Products liability</t>
  </si>
  <si>
    <t>Reinsurance - nonproportional assumed property</t>
  </si>
  <si>
    <t>Reinsurance - nonproportional assumed liability</t>
  </si>
  <si>
    <t>Special liability</t>
  </si>
  <si>
    <t>Fidelity/surety</t>
  </si>
  <si>
    <t>Financial Guaranty</t>
  </si>
  <si>
    <t>Reinsurance - nonproportional assumed financial lines</t>
  </si>
  <si>
    <t>Fire</t>
  </si>
  <si>
    <t>Hull</t>
  </si>
  <si>
    <t>Cargo</t>
  </si>
  <si>
    <t>Transit</t>
  </si>
  <si>
    <t>Personal Accident</t>
  </si>
  <si>
    <t>Automobile</t>
  </si>
  <si>
    <t>Aviation</t>
  </si>
  <si>
    <t>Guarantee Ins.</t>
  </si>
  <si>
    <t>Machinery</t>
  </si>
  <si>
    <t>General Liability</t>
  </si>
  <si>
    <t>Contractor's All Risks</t>
  </si>
  <si>
    <t>Movables All Risks</t>
  </si>
  <si>
    <t>Worker's Compensation</t>
  </si>
  <si>
    <t>Misc. Pecuniary Loss</t>
  </si>
  <si>
    <t>Nursing Care Ins.</t>
  </si>
  <si>
    <t>Others</t>
  </si>
  <si>
    <t>Property, including commercial, personal and engineering</t>
  </si>
  <si>
    <t>Marine and Special</t>
  </si>
  <si>
    <t>Agriculture</t>
  </si>
  <si>
    <t>Short-term Accident</t>
  </si>
  <si>
    <t>Short-term Health</t>
  </si>
  <si>
    <t>Short-term Life</t>
  </si>
  <si>
    <t>Australia &amp; New Zealand</t>
  </si>
  <si>
    <t>Householders</t>
  </si>
  <si>
    <t>Commercial Motor</t>
  </si>
  <si>
    <t>Domestic Motor</t>
  </si>
  <si>
    <t>Other type A</t>
  </si>
  <si>
    <t>Travel</t>
  </si>
  <si>
    <t>Fire and ISR</t>
  </si>
  <si>
    <t>Marine and Aviation</t>
  </si>
  <si>
    <t>Consumer Credit</t>
  </si>
  <si>
    <t>Other Accident</t>
  </si>
  <si>
    <t>Other type B</t>
  </si>
  <si>
    <t>CTP</t>
  </si>
  <si>
    <t>Public and Product Liability</t>
  </si>
  <si>
    <t>Professional Indemnity</t>
  </si>
  <si>
    <t>Employers’ Liability</t>
  </si>
  <si>
    <t>Other type C</t>
  </si>
  <si>
    <t>Householders - proportional reinsurance</t>
  </si>
  <si>
    <t>Commercial Motor  - proportional reinsurance</t>
  </si>
  <si>
    <t>Domestic Motor  - proportional reinsurance</t>
  </si>
  <si>
    <t>Other prop reins type A</t>
  </si>
  <si>
    <t>Travel - proportional reinsurance</t>
  </si>
  <si>
    <t>Fire and ISR - proportional reinsurance</t>
  </si>
  <si>
    <t>Marine and Aviation - proportional reinsurance</t>
  </si>
  <si>
    <t>Consumer Credit - proportional reinsurance</t>
  </si>
  <si>
    <t>Other Accident - proportional reinsurance</t>
  </si>
  <si>
    <t>Other prop reins type B</t>
  </si>
  <si>
    <t>Mortgage - proportional reinsurance</t>
  </si>
  <si>
    <t>CTP - proportional reinsurance</t>
  </si>
  <si>
    <t>Public and Product Liability - proportional reinsurance</t>
  </si>
  <si>
    <t>Professional Indemnity - proportional reinsurance</t>
  </si>
  <si>
    <t>Employers’ Liability - proportional reinsurance</t>
  </si>
  <si>
    <t>Other prop reins type C</t>
  </si>
  <si>
    <t>Householders - non-prop reins</t>
  </si>
  <si>
    <t>Commercial Motor - non-prop reins</t>
  </si>
  <si>
    <t>Domestic Motor - non-prop reins</t>
  </si>
  <si>
    <t>Other non-prop reins type A</t>
  </si>
  <si>
    <t>Travel - non-prop reins</t>
  </si>
  <si>
    <t>Fire and ISR - non-prop reins</t>
  </si>
  <si>
    <t>Marine and Aviation - non-prop reins</t>
  </si>
  <si>
    <t>Consumer Credit - non-prop reins</t>
  </si>
  <si>
    <t>Other Accident - non-prop reins</t>
  </si>
  <si>
    <t>Other non-prop reins type B</t>
  </si>
  <si>
    <t>Mortgage - non-prop reins</t>
  </si>
  <si>
    <t>CTP - non-prop reins</t>
  </si>
  <si>
    <t>Public and Product Liability - non-prop reins</t>
  </si>
  <si>
    <t>Professional Indemnity - non-prop reins</t>
  </si>
  <si>
    <t>Employers’ Liability - non-prop reins</t>
  </si>
  <si>
    <t>Other non-prop reins type C</t>
  </si>
  <si>
    <t>Hong Kong SAR</t>
  </si>
  <si>
    <t>Accident and health</t>
  </si>
  <si>
    <t>Motor vehicle, damage and liability</t>
  </si>
  <si>
    <t>Aircraft, damage and liability</t>
  </si>
  <si>
    <t xml:space="preserve">Ships, damage and liability </t>
  </si>
  <si>
    <t>Goods in transit</t>
  </si>
  <si>
    <t>Fire and Property damage</t>
  </si>
  <si>
    <t>General liability</t>
  </si>
  <si>
    <t>Pecuniary loss</t>
  </si>
  <si>
    <t>Non-proportional treaty reinsurance</t>
  </si>
  <si>
    <t>Proportional treaty reinsurance</t>
  </si>
  <si>
    <t>Korea</t>
  </si>
  <si>
    <t>Fire, technology, overseas</t>
  </si>
  <si>
    <t>Package</t>
  </si>
  <si>
    <t>Maritime</t>
  </si>
  <si>
    <t>Personal injury</t>
  </si>
  <si>
    <t>Workers accident, liability</t>
  </si>
  <si>
    <t>Foreigners</t>
  </si>
  <si>
    <t>Advance payment refund guarantee</t>
  </si>
  <si>
    <t>Other non life</t>
  </si>
  <si>
    <t>Private vehicle(personal injury)</t>
  </si>
  <si>
    <t>Private vehicle(property, vehicles damage)</t>
  </si>
  <si>
    <t>Vehicle for commercial or business purpose(personal injury)</t>
  </si>
  <si>
    <t>Vehicle for commercial or business purpose(property, vehicles)</t>
  </si>
  <si>
    <t>Other motor</t>
  </si>
  <si>
    <t>Singapore</t>
  </si>
  <si>
    <t>Health</t>
  </si>
  <si>
    <t>Marine and Aviation - Cargo</t>
  </si>
  <si>
    <t>Work Injury Compensation</t>
  </si>
  <si>
    <t>Bonds</t>
  </si>
  <si>
    <t>Engineering Construction</t>
  </si>
  <si>
    <t>Others- non liability class</t>
  </si>
  <si>
    <t>Marine and Aviation - Hull</t>
  </si>
  <si>
    <t>Professional indemnity</t>
  </si>
  <si>
    <t>Public liability</t>
  </si>
  <si>
    <t>Others- liability class</t>
  </si>
  <si>
    <t>Chinese Taipei</t>
  </si>
  <si>
    <t>Fire - short residence</t>
  </si>
  <si>
    <t>Fire - long residence</t>
  </si>
  <si>
    <t>Fire - short commercial</t>
  </si>
  <si>
    <t>Fire - long commercial</t>
  </si>
  <si>
    <t>Marine - inland cargo</t>
  </si>
  <si>
    <t>Marine - overseas cargo</t>
  </si>
  <si>
    <t>Marine - hull</t>
  </si>
  <si>
    <t>Marine - fish boat</t>
  </si>
  <si>
    <t>Marine - aircraft</t>
  </si>
  <si>
    <t>Motor - personal vehicle</t>
  </si>
  <si>
    <t>Motor - commercial vehicle</t>
  </si>
  <si>
    <t>Motor - personal liability</t>
  </si>
  <si>
    <t>Motor - commercial liability</t>
  </si>
  <si>
    <t>Liability - public, employer, product, etc.</t>
  </si>
  <si>
    <t>Liability - professional</t>
  </si>
  <si>
    <t>Engineering</t>
  </si>
  <si>
    <t>Nuclear power station</t>
  </si>
  <si>
    <t>Guarantee - surety, fidelity</t>
  </si>
  <si>
    <t>Other property damage</t>
  </si>
  <si>
    <t>Accident</t>
  </si>
  <si>
    <t>Property Damage - commercial earthquake</t>
  </si>
  <si>
    <t>Comprehensive - personal property and liability</t>
  </si>
  <si>
    <t>Comprehensive - commercial property and liability</t>
  </si>
  <si>
    <t>Property damage - typhoon and flood</t>
  </si>
  <si>
    <t>Property damage - compulsory earthquake</t>
  </si>
  <si>
    <t>Property damage</t>
  </si>
  <si>
    <t>Accident, protection and health (APH)</t>
  </si>
  <si>
    <t>Other short tail</t>
  </si>
  <si>
    <t>Marine, Air, Transport (MAT)</t>
  </si>
  <si>
    <t>Other medium tail</t>
  </si>
  <si>
    <t>Workers' compensation</t>
  </si>
  <si>
    <t>Product liability</t>
  </si>
  <si>
    <t>Other long tail</t>
  </si>
  <si>
    <t>Non-proportional motor, property damage and APH</t>
  </si>
  <si>
    <t>Catastrophe reinsurance</t>
  </si>
  <si>
    <t>Non-proportional public liability</t>
  </si>
  <si>
    <t>Non-proportional product liability</t>
  </si>
  <si>
    <t>Non-proportional professional indemnity</t>
  </si>
  <si>
    <t>Non-proportional other liability</t>
  </si>
  <si>
    <t>Commercial credit insurance</t>
  </si>
  <si>
    <t>Other emerging markets</t>
  </si>
  <si>
    <t>Catastrophe risk</t>
  </si>
  <si>
    <t>Summary of ICS Catastrophe risk</t>
  </si>
  <si>
    <t>Gross from external protection</t>
  </si>
  <si>
    <t xml:space="preserve"> Net from qualifying external protection</t>
  </si>
  <si>
    <t>Nat Cat ICS risks</t>
  </si>
  <si>
    <t>Natural catastrophes</t>
  </si>
  <si>
    <t>Terrorism</t>
  </si>
  <si>
    <t>Pandemic</t>
  </si>
  <si>
    <t>Credit and surety</t>
  </si>
  <si>
    <t>Annual Aggregate Loss Amounts gross from external protection</t>
  </si>
  <si>
    <t>I - Natural Catastrophes</t>
  </si>
  <si>
    <t>All perils</t>
  </si>
  <si>
    <t>Tropical Cyclone</t>
  </si>
  <si>
    <t>Extra-tropical windstorm / winterstorm</t>
  </si>
  <si>
    <t>Earthquake</t>
  </si>
  <si>
    <t>Other (e.g. Flood, hail, wildfire)</t>
  </si>
  <si>
    <t>region</t>
  </si>
  <si>
    <t>All</t>
  </si>
  <si>
    <t>Total Cyclone</t>
  </si>
  <si>
    <t>USA</t>
  </si>
  <si>
    <t>Total Windstorm</t>
  </si>
  <si>
    <t>Europe</t>
  </si>
  <si>
    <t>Total earthquake</t>
  </si>
  <si>
    <t>North America</t>
  </si>
  <si>
    <t>Total other</t>
  </si>
  <si>
    <t>Flood</t>
  </si>
  <si>
    <t>Hail and convective storms</t>
  </si>
  <si>
    <t>Mean</t>
  </si>
  <si>
    <t>VaR risk measure, with confidence level:</t>
  </si>
  <si>
    <t>Max loss</t>
  </si>
  <si>
    <t>TVaR risk measure, with confidence level:</t>
  </si>
  <si>
    <t>Annual Aggregate Loss Amounts net from qualifying external protection</t>
  </si>
  <si>
    <t>II - Other Catastrophes</t>
  </si>
  <si>
    <t>Loss amount gross from external protection</t>
  </si>
  <si>
    <t>Loss amount net from qualifying external protection</t>
  </si>
  <si>
    <t>Effect of management actions</t>
  </si>
  <si>
    <t>Loss amount after management actions</t>
  </si>
  <si>
    <t>City centre terrorism attack</t>
  </si>
  <si>
    <t>Building</t>
  </si>
  <si>
    <t>Life covers</t>
  </si>
  <si>
    <t>Pollution</t>
  </si>
  <si>
    <t>Trade credit</t>
  </si>
  <si>
    <t>Life type risks</t>
  </si>
  <si>
    <t>Summary of ICS life risks</t>
  </si>
  <si>
    <t>life risk</t>
  </si>
  <si>
    <t>after management actions</t>
  </si>
  <si>
    <t>Mortality
risk</t>
  </si>
  <si>
    <t>Longevity
risk</t>
  </si>
  <si>
    <t>Morbidity disability
risk</t>
  </si>
  <si>
    <t>Lapse
risk</t>
  </si>
  <si>
    <t>Expense
risk</t>
  </si>
  <si>
    <t>Diversification</t>
  </si>
  <si>
    <t>Correlation matrix for life risks</t>
  </si>
  <si>
    <t>calculation</t>
  </si>
  <si>
    <t>Mortality</t>
  </si>
  <si>
    <t>Longevity</t>
  </si>
  <si>
    <t>Morbidity/disability</t>
  </si>
  <si>
    <t>Lapse</t>
  </si>
  <si>
    <t>Expenses</t>
  </si>
  <si>
    <t>ICS Life</t>
  </si>
  <si>
    <t>before management actions</t>
  </si>
  <si>
    <t>Base NAV</t>
  </si>
  <si>
    <t>Change in NAV</t>
  </si>
  <si>
    <t>Mortality risk</t>
  </si>
  <si>
    <t>Net of Reins</t>
  </si>
  <si>
    <r>
      <t>Post Shock NAV</t>
    </r>
    <r>
      <rPr>
        <sz val="10"/>
        <color theme="1"/>
        <rFont val="Arial"/>
        <family val="2"/>
      </rPr>
      <t xml:space="preserve">
 (Net of Reins)</t>
    </r>
  </si>
  <si>
    <t>[4 = 1-2-3]</t>
  </si>
  <si>
    <t>[5 = 1-2]</t>
  </si>
  <si>
    <t>All regions</t>
  </si>
  <si>
    <t>Longevity risk</t>
  </si>
  <si>
    <t>Morbidity risk summary</t>
  </si>
  <si>
    <t>Medical expenses</t>
  </si>
  <si>
    <t>Lump sum</t>
  </si>
  <si>
    <t>Short term annuity (=&lt; 3 years)</t>
  </si>
  <si>
    <t>Long term annuity (&gt; 3 years)</t>
  </si>
  <si>
    <t>Life annuity</t>
  </si>
  <si>
    <t>Total (after management actions)</t>
  </si>
  <si>
    <t>Total (before management actions)</t>
  </si>
  <si>
    <t>[6 = sum(1 .. 5)]</t>
  </si>
  <si>
    <t>Morbidity risk information for</t>
  </si>
  <si>
    <t>Post Shock value
 (Net of Reins)</t>
  </si>
  <si>
    <t>Net Earned premiums</t>
  </si>
  <si>
    <t>Liability duration</t>
  </si>
  <si>
    <t>Risk covered</t>
  </si>
  <si>
    <t xml:space="preserve"> </t>
  </si>
  <si>
    <t>Annual products</t>
  </si>
  <si>
    <t>Multiannual products</t>
  </si>
  <si>
    <t>Lifelong products</t>
  </si>
  <si>
    <t>Valid insured people</t>
  </si>
  <si>
    <t>Annuity beneficiaries</t>
  </si>
  <si>
    <t>Lapse result</t>
  </si>
  <si>
    <t>Lapse risk
(Applicable to Life Business only)</t>
  </si>
  <si>
    <t>[5 = 3+4]</t>
  </si>
  <si>
    <t>Lapse risk
(Level and trend component)</t>
  </si>
  <si>
    <t>Please note that the shocked-up rate applied to policy or product group should not exceed 100%, and the shocked-down rate should be floored at 0%.</t>
  </si>
  <si>
    <t>The effect of management actions [3] should be considered when determining the scenario (upward/downward) that gives a higher lapse risk requirement. 
For example, if the change in NAV after management action for upward scenario is 30 and the change in NAV after management action for downward scenario is 20. The change in NAV after management action in [4] will be 30 and the corresponding management actions, base NAV and post shock NAV will be that for an upward scenario.</t>
  </si>
  <si>
    <t>Lapse risk
(Mass lapse component)</t>
  </si>
  <si>
    <r>
      <t>Post Shock NAV</t>
    </r>
    <r>
      <rPr>
        <vertAlign val="superscript"/>
        <sz val="10"/>
        <color theme="1"/>
        <rFont val="Arial"/>
        <family val="2"/>
      </rPr>
      <t>(1)</t>
    </r>
    <r>
      <rPr>
        <sz val="10"/>
        <color theme="1"/>
        <rFont val="Arial"/>
        <family val="2"/>
      </rPr>
      <t xml:space="preserve">
 (Net of Reins)</t>
    </r>
  </si>
  <si>
    <t xml:space="preserve">(1) Post shock NAV to be determined based on the following: </t>
  </si>
  <si>
    <t>For policies with positive surrender strain: immediate surrender of x% for retail policies and y% for non-retail policies</t>
  </si>
  <si>
    <t>For policies with negative surrender strain: zero surrenderof policies</t>
  </si>
  <si>
    <t xml:space="preserve">Expense risk (life business only)
</t>
  </si>
  <si>
    <t>Gross of Reins</t>
  </si>
  <si>
    <t>Post Shock NAV
 (Net of Reins)</t>
  </si>
  <si>
    <t>[5 = 2-3-4]</t>
  </si>
  <si>
    <t>[6 = 2-3]</t>
  </si>
  <si>
    <t>Summary of ICS market risks</t>
  </si>
  <si>
    <t>Highest risk</t>
  </si>
  <si>
    <t>Before</t>
  </si>
  <si>
    <t>After</t>
  </si>
  <si>
    <t>Correlation matrix for market risks</t>
  </si>
  <si>
    <t>management actions</t>
  </si>
  <si>
    <t>Interest rate upward</t>
  </si>
  <si>
    <t>Interest rate downward</t>
  </si>
  <si>
    <t>Interest rate flattening</t>
  </si>
  <si>
    <t>Real estate</t>
  </si>
  <si>
    <t>Currency</t>
  </si>
  <si>
    <t>Assets concentration</t>
  </si>
  <si>
    <t>Diversified ICS Market risks</t>
  </si>
  <si>
    <t>ICS Market</t>
  </si>
  <si>
    <t>Interest rate</t>
  </si>
  <si>
    <t>Upward</t>
  </si>
  <si>
    <t>Downward</t>
  </si>
  <si>
    <t>Flattening</t>
  </si>
  <si>
    <t>Summary of ICS Interest rate risk</t>
  </si>
  <si>
    <t>Highest interets rate risk from the 3 scenarios</t>
  </si>
  <si>
    <t>Before stress</t>
  </si>
  <si>
    <t>Post upward stress</t>
  </si>
  <si>
    <t>Post downward stress</t>
  </si>
  <si>
    <t>Post flattening stress</t>
  </si>
  <si>
    <t>Assets less liabilities after management actions</t>
  </si>
  <si>
    <t>Assets less liabilities before management actions</t>
  </si>
  <si>
    <t>Stress impact after management actions</t>
  </si>
  <si>
    <t>Stress impact before management actions</t>
  </si>
  <si>
    <t xml:space="preserve"> Pre-stress values of assets</t>
  </si>
  <si>
    <t>Of Which: Discounted Cash Flows Occurring In</t>
  </si>
  <si>
    <t>Values of assets under upward stress</t>
  </si>
  <si>
    <t>Values of assets under downward stress</t>
  </si>
  <si>
    <t>Value of assets under flattening stress</t>
  </si>
  <si>
    <t>ASSETS</t>
  </si>
  <si>
    <t xml:space="preserve"> Years
0-5</t>
  </si>
  <si>
    <t xml:space="preserve"> Years
5-10</t>
  </si>
  <si>
    <t xml:space="preserve"> Years
10-20</t>
  </si>
  <si>
    <t>Years
20+</t>
  </si>
  <si>
    <t>Loans</t>
  </si>
  <si>
    <t xml:space="preserve">Structured securities </t>
  </si>
  <si>
    <t>Assets in separate accounts</t>
  </si>
  <si>
    <t>Reinsurance recoverables/assets</t>
  </si>
  <si>
    <t>Non-investment assets</t>
  </si>
  <si>
    <t>Fair values of financial instruments used for hedging</t>
  </si>
  <si>
    <t>Pre-stress values of Insurance Liabilities</t>
  </si>
  <si>
    <t>Values of liabilities under upward stress</t>
  </si>
  <si>
    <t>Values of liabilities under downward stress</t>
  </si>
  <si>
    <t>Value of liabilities under flattening stress</t>
  </si>
  <si>
    <t>LIABILITIES</t>
  </si>
  <si>
    <t>Non-Life Insurance</t>
  </si>
  <si>
    <t>Other liabilities that do not meet qualifying criteria for ICS capital resources</t>
  </si>
  <si>
    <t>Summary of ICS Equity risk</t>
  </si>
  <si>
    <t>Scenario 1 : Down / Up shock</t>
  </si>
  <si>
    <t>Scenario 2 : Down / Down shock</t>
  </si>
  <si>
    <t xml:space="preserve">Down / Up </t>
  </si>
  <si>
    <t xml:space="preserve">Down / Down </t>
  </si>
  <si>
    <t>Values before shocks</t>
  </si>
  <si>
    <t>Down shock on prices only</t>
  </si>
  <si>
    <t>Information on equity risk</t>
  </si>
  <si>
    <t>Ownership
(direct or indirect)</t>
  </si>
  <si>
    <t>Derivatives</t>
  </si>
  <si>
    <t>Listed equity - developed</t>
  </si>
  <si>
    <t>Listed equity - emerging</t>
  </si>
  <si>
    <t>Hybrid debt/preference shares</t>
  </si>
  <si>
    <t>Other equity</t>
  </si>
  <si>
    <t>Equity assets</t>
  </si>
  <si>
    <t>Insurance liabilities</t>
  </si>
  <si>
    <t>Other liabilities</t>
  </si>
  <si>
    <t>Scenario 1 : prices (down) and volatility (up) shock</t>
  </si>
  <si>
    <t>Scenario 2 : prices (down) and volatility (down) shock</t>
  </si>
  <si>
    <t>Information on equity risk scenarios</t>
  </si>
  <si>
    <t>Summary of ICS Real estate risk</t>
  </si>
  <si>
    <t>ICS Real estate risk</t>
  </si>
  <si>
    <t>NT Mortgage insurance risk</t>
  </si>
  <si>
    <t>Value pre-shock</t>
  </si>
  <si>
    <t>Post Shock NAV
before management actions</t>
  </si>
  <si>
    <t>Commercial investment</t>
  </si>
  <si>
    <t>Direct ownership</t>
  </si>
  <si>
    <t>Indirect</t>
  </si>
  <si>
    <t>Residential investment</t>
  </si>
  <si>
    <t>Real estate for own use</t>
  </si>
  <si>
    <t>Other assets</t>
  </si>
  <si>
    <t>Liabilities</t>
  </si>
  <si>
    <t>ICS results</t>
  </si>
  <si>
    <t>Scenario 1 (Long)</t>
  </si>
  <si>
    <t>Scenario 2 (Short)</t>
  </si>
  <si>
    <t>Summary of ICS Currency risk</t>
  </si>
  <si>
    <t>Highest result</t>
  </si>
  <si>
    <t>Diversified Result</t>
  </si>
  <si>
    <t>pairwise correlation</t>
  </si>
  <si>
    <t>Exposures in specific currencies:</t>
  </si>
  <si>
    <t>Net Open Position</t>
  </si>
  <si>
    <t>Of Which:
Net Insurance Liabilities</t>
  </si>
  <si>
    <t>Of Which:
Net Capital Investments In Foreign Subsidiaries</t>
  </si>
  <si>
    <t>Net Open Position Under Scenario 1</t>
  </si>
  <si>
    <t>Change per currency</t>
  </si>
  <si>
    <t>Net Open Position Under Scenario 2</t>
  </si>
  <si>
    <t>Local capital requirement</t>
  </si>
  <si>
    <t>Specific currencies</t>
  </si>
  <si>
    <t>AUD</t>
  </si>
  <si>
    <t>BRL</t>
  </si>
  <si>
    <t>CAD</t>
  </si>
  <si>
    <t>CHF</t>
  </si>
  <si>
    <t>CLP</t>
  </si>
  <si>
    <t>CNY</t>
  </si>
  <si>
    <t>COP</t>
  </si>
  <si>
    <t>CZK</t>
  </si>
  <si>
    <t>DKK</t>
  </si>
  <si>
    <t>EUR</t>
  </si>
  <si>
    <t>GBP</t>
  </si>
  <si>
    <t>HKD</t>
  </si>
  <si>
    <t>HUF</t>
  </si>
  <si>
    <t>IDR</t>
  </si>
  <si>
    <t>ILS</t>
  </si>
  <si>
    <t>INR</t>
  </si>
  <si>
    <t>JPY</t>
  </si>
  <si>
    <t>KRW</t>
  </si>
  <si>
    <t>MXN</t>
  </si>
  <si>
    <t>MYR</t>
  </si>
  <si>
    <t>NOK</t>
  </si>
  <si>
    <t>NZD</t>
  </si>
  <si>
    <t>PEN</t>
  </si>
  <si>
    <t>PHP</t>
  </si>
  <si>
    <t>PLN</t>
  </si>
  <si>
    <t>RON</t>
  </si>
  <si>
    <t>RUB</t>
  </si>
  <si>
    <t>SAR</t>
  </si>
  <si>
    <t>SEK</t>
  </si>
  <si>
    <t>SGD</t>
  </si>
  <si>
    <t>THB</t>
  </si>
  <si>
    <t>TRY</t>
  </si>
  <si>
    <t>TWD</t>
  </si>
  <si>
    <t>USD</t>
  </si>
  <si>
    <t>ZAR</t>
  </si>
  <si>
    <t>Next 10 largest currencies based on insurance liabilities:</t>
  </si>
  <si>
    <t>Asset concentration risk</t>
  </si>
  <si>
    <t>Summary of ICS Asset Concentration risk</t>
  </si>
  <si>
    <t>Using Total Assets Thresholds</t>
  </si>
  <si>
    <t>Using Qualifying Capital Resources Thresholds</t>
  </si>
  <si>
    <t>Risk tresholds calculation</t>
  </si>
  <si>
    <t>Amount</t>
  </si>
  <si>
    <t>Threshold</t>
  </si>
  <si>
    <t>[3 = 1 * 2]</t>
  </si>
  <si>
    <t>Total insurance assets excluding assets in separate accounts or where the investment risks fully flow-through  to policyholders</t>
  </si>
  <si>
    <t>Qualifying capital resources (QCR) before cc-MOCE</t>
  </si>
  <si>
    <t>Asset concentration risk charge category</t>
  </si>
  <si>
    <t>Net Exposure exceeding threshold, grouped by weighted-average (WA) ICS rating category</t>
  </si>
  <si>
    <t>Incremental capital charge factor</t>
  </si>
  <si>
    <t>Concentration risk  charge</t>
  </si>
  <si>
    <t>ICS rating category (WA)</t>
  </si>
  <si>
    <t>Applicable Threshold</t>
  </si>
  <si>
    <t># of CPs/ properties exceeding threshold</t>
  </si>
  <si>
    <t xml:space="preserve"># of reinsurance providers in CPs exceeding threshold </t>
  </si>
  <si>
    <t>Aggregate amount exceeding threshold</t>
  </si>
  <si>
    <t>[6 = 4*5]</t>
  </si>
  <si>
    <t>Counterparty-related</t>
  </si>
  <si>
    <t>1 and 2</t>
  </si>
  <si>
    <t>3 and 4</t>
  </si>
  <si>
    <t>5, 6, and 7</t>
  </si>
  <si>
    <t>Supplementary Data Collection - subset of information included above</t>
  </si>
  <si>
    <t>For G-SIIs: exposures to G-SIFIs</t>
  </si>
  <si>
    <t>5, 6 and 7</t>
  </si>
  <si>
    <t>Own-use properties</t>
  </si>
  <si>
    <t>Using Qualifying Capital Resources (QCR) Thresholds</t>
  </si>
  <si>
    <t>Summary of ICS Credit risk</t>
  </si>
  <si>
    <t>ICS Credit risk</t>
  </si>
  <si>
    <t>Public sector entities</t>
  </si>
  <si>
    <t>Corporates</t>
  </si>
  <si>
    <t>Securitisations</t>
  </si>
  <si>
    <t>Re-securitisations</t>
  </si>
  <si>
    <t>Reinsurance</t>
  </si>
  <si>
    <t>Mortgages</t>
  </si>
  <si>
    <t>Miscellaneous</t>
  </si>
  <si>
    <t>Redistribution for Collateral and Guarantees</t>
  </si>
  <si>
    <t>Sovereign Guarantees/Collateral</t>
  </si>
  <si>
    <t>Public Sector Entities</t>
  </si>
  <si>
    <t>Balance Sheet Assets</t>
  </si>
  <si>
    <t>OTC Derivatives</t>
  </si>
  <si>
    <t>Other Off-Balance Sheet</t>
  </si>
  <si>
    <r>
      <rPr>
        <b/>
        <sz val="11"/>
        <color theme="1"/>
        <rFont val="Calibri"/>
        <family val="2"/>
        <scheme val="minor"/>
      </rPr>
      <t>By Maturity:</t>
    </r>
    <r>
      <rPr>
        <sz val="10"/>
        <color theme="1"/>
        <rFont val="Arial"/>
        <family val="2"/>
      </rPr>
      <t xml:space="preserve">
0-1 Years</t>
    </r>
  </si>
  <si>
    <t>1-2 Years</t>
  </si>
  <si>
    <t>2-3 Years</t>
  </si>
  <si>
    <t>3-4 Years</t>
  </si>
  <si>
    <t>4-5 Years</t>
  </si>
  <si>
    <t>5-6 Years</t>
  </si>
  <si>
    <t>6-7 Years</t>
  </si>
  <si>
    <t>7-8 Years</t>
  </si>
  <si>
    <t>8-9 Years</t>
  </si>
  <si>
    <t>9-10 Years</t>
  </si>
  <si>
    <t>10+ Years</t>
  </si>
  <si>
    <t>0-1 Years</t>
  </si>
  <si>
    <t>Rating Category</t>
  </si>
  <si>
    <t>T21</t>
  </si>
  <si>
    <t>Unrated</t>
  </si>
  <si>
    <t>In Default</t>
  </si>
  <si>
    <t>Corporate and reinsurance</t>
  </si>
  <si>
    <t>T22</t>
  </si>
  <si>
    <t>Securitizations</t>
  </si>
  <si>
    <t>T23</t>
  </si>
  <si>
    <t>Re-securitizations:</t>
  </si>
  <si>
    <t>Re-securitizations</t>
  </si>
  <si>
    <t>Reinsurance Exposures</t>
  </si>
  <si>
    <t>Reduction In ICS Capital Requirements</t>
  </si>
  <si>
    <t>Redistribution for Collateral And Guarantees</t>
  </si>
  <si>
    <t>1 or 2</t>
  </si>
  <si>
    <t>Funds Withheld And Other Amounts Payable That Can Be Legally Netted Against Reinsurance Assets</t>
  </si>
  <si>
    <t>Residential Mortgages</t>
  </si>
  <si>
    <t>Redistribution for Guarantees</t>
  </si>
  <si>
    <t>Mortgages factors</t>
  </si>
  <si>
    <t>Residential</t>
  </si>
  <si>
    <t>Performing</t>
  </si>
  <si>
    <t>Commercial</t>
  </si>
  <si>
    <t>Default</t>
  </si>
  <si>
    <t>Commercial Mortgages</t>
  </si>
  <si>
    <t>Miscellaneous Assets</t>
  </si>
  <si>
    <t>Miscellaneousfactors</t>
  </si>
  <si>
    <t>Policy loans</t>
  </si>
  <si>
    <t>Short-term obligations of regulated banks</t>
  </si>
  <si>
    <t>Outstanding premiums</t>
  </si>
  <si>
    <t>Amounts due from agents and brokers</t>
  </si>
  <si>
    <t>Other receivables</t>
  </si>
  <si>
    <t>Prepaid expenses</t>
  </si>
  <si>
    <t>Other assets exposed to credit risk (specify):</t>
  </si>
  <si>
    <t>&lt;asset 1&gt;</t>
  </si>
  <si>
    <t>…</t>
  </si>
  <si>
    <t>&lt;asset n&gt;</t>
  </si>
  <si>
    <t>Central Derivatives Counterparties:</t>
  </si>
  <si>
    <t>Summary of ICS Operational risk</t>
  </si>
  <si>
    <t>Operational risk charge</t>
  </si>
  <si>
    <t>Non life</t>
  </si>
  <si>
    <t>Life (risk)</t>
  </si>
  <si>
    <t>Life (non-risk)</t>
  </si>
  <si>
    <t>Op risk charge component</t>
  </si>
  <si>
    <t>Total exposure</t>
  </si>
  <si>
    <t>[2 = sum(3..8)]</t>
  </si>
  <si>
    <t>Gross written premium
- most recent financial year</t>
  </si>
  <si>
    <t>of which: direct</t>
  </si>
  <si>
    <t>of which: assumed</t>
  </si>
  <si>
    <t>Gross written premium
- financial year minus 1</t>
  </si>
  <si>
    <t>Gross written premium
- financial year minus 2</t>
  </si>
  <si>
    <t>Treshold</t>
  </si>
  <si>
    <t>Gross written premium
- growth in premium above threshold</t>
  </si>
  <si>
    <t>Net written premium
- most recent financial year</t>
  </si>
  <si>
    <t xml:space="preserve">Gross earned premium
- most recent financial year </t>
  </si>
  <si>
    <t>Gross earned premium
- financial year minus 1</t>
  </si>
  <si>
    <t>Gross earned premium
- financial year minus 2</t>
  </si>
  <si>
    <t xml:space="preserve">Net earned premium
- most recent financial year </t>
  </si>
  <si>
    <t>Gross current estimate of insurance liabilities</t>
  </si>
  <si>
    <t>Net current estimate of insurance liabilities</t>
  </si>
  <si>
    <t>Economic capital held for operational risk
- IAIS segmentation</t>
  </si>
  <si>
    <t>Economic capital held for operational risk
- IAIG segmentation</t>
  </si>
  <si>
    <t>&lt;Segment 1&gt;</t>
  </si>
  <si>
    <t>&lt;Segment 2&gt;</t>
  </si>
  <si>
    <t>&lt;Segment 3&gt;</t>
  </si>
  <si>
    <t>&lt;Segment 4&gt;</t>
  </si>
  <si>
    <t>&lt;Segment 5&gt;</t>
  </si>
  <si>
    <t>&lt;Segment 6&gt;</t>
  </si>
  <si>
    <t>&lt;Segment 7&gt;</t>
  </si>
  <si>
    <t>&lt;Segment 8&gt;</t>
  </si>
  <si>
    <t>&lt;Segment 9&gt;</t>
  </si>
  <si>
    <t>&lt;Segment 10&gt;</t>
  </si>
  <si>
    <t>&lt;Segment 11&gt;</t>
  </si>
  <si>
    <t>&lt;Segment 12&gt;</t>
  </si>
  <si>
    <t>&lt;Segment 13&gt;</t>
  </si>
  <si>
    <t>&lt;Segment 14&gt;</t>
  </si>
  <si>
    <t>&lt;Segment 15&gt;</t>
  </si>
  <si>
    <t>&lt;Segment 16&gt;</t>
  </si>
  <si>
    <t>&lt;Segment 17&gt;</t>
  </si>
  <si>
    <t>&lt;Segment 18&gt;</t>
  </si>
  <si>
    <t>&lt;Segment 19&gt;</t>
  </si>
  <si>
    <t>&lt;Segment 20&gt;</t>
  </si>
  <si>
    <t>Supplementary Information- Lapse risk</t>
  </si>
  <si>
    <t>Please note that while information is requested for the product categories below, in calculating the risk charges, grouping by portfolios of products or policies where the exposure to insurance risk is homogeneous within the class should still be employed</t>
  </si>
  <si>
    <t>The addition of "sub-total" under both upward and downward shock for each region should reconcile to that reported for the respective jurisdiction in the main capital charge templates</t>
  </si>
  <si>
    <t>Level and Trend Component - For homogenuous groups where the Upward Shock produces a larger capital requirement</t>
  </si>
  <si>
    <t>Jurisdiction</t>
  </si>
  <si>
    <t>Product Category</t>
  </si>
  <si>
    <t>Post Shock NAV (Net of Reins)</t>
  </si>
  <si>
    <t>Please provide brief description of management actions taken</t>
  </si>
  <si>
    <t>US/Canada</t>
  </si>
  <si>
    <t>Savings without guarantees or living benefits (including VA without guarantees)</t>
  </si>
  <si>
    <t>Sub-Total</t>
  </si>
  <si>
    <t>EEA and Switzerland</t>
  </si>
  <si>
    <t>Level and Trend Component - For homogenuous groups where the Downward Shock produces a larger capital requirement</t>
  </si>
  <si>
    <t>Mass Lapse Component</t>
  </si>
  <si>
    <t>Products with positive surrender strain: Retail</t>
  </si>
  <si>
    <t>Products with positive surrender strain: Non-Retail</t>
  </si>
  <si>
    <t>Products with negative surrender strain</t>
  </si>
  <si>
    <t>Supplementary Information- Expense risk</t>
  </si>
  <si>
    <t>Please note that in calculating the risk charges, grouping by portfolios of products or policies where the exposure to insurance risk is homogeneous within the class should still be employed</t>
  </si>
  <si>
    <t>The figures provided for each jurisdiction should reconcile to that reported for the respective jurisdiction in the main capital charge templates</t>
  </si>
  <si>
    <t>Change in NAV (Net of Reins)
Before management actions</t>
  </si>
  <si>
    <t>Impact due to unit expense</t>
  </si>
  <si>
    <t>Impact due to expense inflation</t>
  </si>
  <si>
    <t>Information on the balance sheet used for ICS purposes</t>
  </si>
  <si>
    <t>GAAP Plus valuation</t>
  </si>
  <si>
    <t>MAV Narrative reference</t>
  </si>
  <si>
    <t>GAAP+  Narrative reference</t>
  </si>
  <si>
    <t>[8=3-9]</t>
  </si>
  <si>
    <t>[10=9+2]</t>
  </si>
  <si>
    <t>Detailed information on the insurance liabilities according to the ICS segmentation</t>
  </si>
  <si>
    <t>Check = reconciliation</t>
  </si>
  <si>
    <t>Total insurance liabilities without cc-MOCE</t>
  </si>
  <si>
    <t>of which: Liabilities for future bonuses or other discretionary benefits</t>
  </si>
  <si>
    <t>Total Non-Life net Unearned premium</t>
  </si>
  <si>
    <t>Check: Non life [ICS]-Non life [BCR] = 0</t>
  </si>
  <si>
    <t>Check: Non life traditional [ICS]-Non life traditional [BCR] = 0</t>
  </si>
  <si>
    <t>Check: Non life non-traditional [ICS]-Non life non-traditional [BCR] = 0</t>
  </si>
  <si>
    <t>Currrent estimates net of reinsurance</t>
  </si>
  <si>
    <t>Insurance liabilities under</t>
  </si>
  <si>
    <t>Check total net</t>
  </si>
  <si>
    <t>Transfer MOCE</t>
  </si>
  <si>
    <t>Prudence MOCE</t>
  </si>
  <si>
    <t>[1 = sum(2..7)]</t>
  </si>
  <si>
    <t>Total Insurance Liabilities</t>
  </si>
  <si>
    <t>Total Life insurance liabilities</t>
  </si>
  <si>
    <t>Separate accounts with guarantees</t>
  </si>
  <si>
    <t>cc-MOCE</t>
  </si>
  <si>
    <t>[1]</t>
  </si>
  <si>
    <t>Comparable and consistent margin under a transfer approach</t>
  </si>
  <si>
    <t>Comparable and Consistent MOCE - Cost of Capital approach</t>
  </si>
  <si>
    <t>ICS capital charge</t>
  </si>
  <si>
    <t>ICS capital requirement</t>
  </si>
  <si>
    <t>ICS allocation</t>
  </si>
  <si>
    <t>Pre-diversification</t>
  </si>
  <si>
    <t>diversified</t>
  </si>
  <si>
    <t>to life</t>
  </si>
  <si>
    <t>to non-life</t>
  </si>
  <si>
    <t>Total ICS capital requirement (diversified)</t>
  </si>
  <si>
    <t>s/total ICS capital requirement non-life insurance risk (pre-diversification)</t>
  </si>
  <si>
    <t>s/total ICS capital requirement catastrophe risk (pre-diversification)</t>
  </si>
  <si>
    <t>Pandemic allocated to life, other allocated to non-life</t>
  </si>
  <si>
    <t>s/total ICS capital requirement life insurance risk (pre-diversification)</t>
  </si>
  <si>
    <t>s/total ICS capital requirement Market risk (pre-diversification)</t>
  </si>
  <si>
    <t>allocated by volunteers on a best effort basis</t>
  </si>
  <si>
    <t>s/total ICS capital requirement credit risk (pre-diversification)</t>
  </si>
  <si>
    <t>s/total ICS capital requirement Operational risk  - life (pre-diversification)</t>
  </si>
  <si>
    <t>s/total ICS capital requirement Operational risk  - non-life (pre-diversification)</t>
  </si>
  <si>
    <t>Cost of capital</t>
  </si>
  <si>
    <t>Consolidated currency</t>
  </si>
  <si>
    <t>Cost of Capital approach</t>
  </si>
  <si>
    <t>Allocated ICS</t>
  </si>
  <si>
    <t>Duration</t>
  </si>
  <si>
    <t>CoC-MOCE</t>
  </si>
  <si>
    <t>Total Life (using run-off)</t>
  </si>
  <si>
    <t>Non-Life</t>
  </si>
  <si>
    <t>Non-life insurance risk charge</t>
  </si>
  <si>
    <t>Run-off pattern category</t>
  </si>
  <si>
    <t>Sum of capital required for  segments with short tail run-off pattern</t>
  </si>
  <si>
    <t>Sum of capital required for  segments with medium tail run-off pattern</t>
  </si>
  <si>
    <t>Sum of capital required for  segments with long tail run-off pattern</t>
  </si>
  <si>
    <t>Run off pattern</t>
  </si>
  <si>
    <t>Currency discount factor</t>
  </si>
  <si>
    <t>Currency risk free</t>
  </si>
  <si>
    <t>Short tail</t>
  </si>
  <si>
    <t>Medium tail</t>
  </si>
  <si>
    <t>Long tail</t>
  </si>
  <si>
    <t>Australia Dollars</t>
  </si>
  <si>
    <t>Brazil Reais</t>
  </si>
  <si>
    <t>Canada Dollars</t>
  </si>
  <si>
    <t>Switzerland Francs</t>
  </si>
  <si>
    <t>Chile Pesos</t>
  </si>
  <si>
    <t>China Yuan Renminbi</t>
  </si>
  <si>
    <t>Colombia Pesos</t>
  </si>
  <si>
    <t>Czech Republic Koruny</t>
  </si>
  <si>
    <t>Denmark Kroner</t>
  </si>
  <si>
    <t>Euro</t>
  </si>
  <si>
    <t>United Kingdom Pounds</t>
  </si>
  <si>
    <t>Hong Kong Dollars</t>
  </si>
  <si>
    <t>Hungary Forint</t>
  </si>
  <si>
    <t>Indonesian Rupiah</t>
  </si>
  <si>
    <t>Israeli new shekel</t>
  </si>
  <si>
    <t>India Rupees</t>
  </si>
  <si>
    <t>Japan Yen</t>
  </si>
  <si>
    <t>South Korea Won</t>
  </si>
  <si>
    <t>Mexico Pesos</t>
  </si>
  <si>
    <t>Malaysia Ringgits</t>
  </si>
  <si>
    <t>Norway Kroner</t>
  </si>
  <si>
    <t>New Zealand Dollars</t>
  </si>
  <si>
    <t>Peruvian Nuevo Sol</t>
  </si>
  <si>
    <t>Philipine Peso</t>
  </si>
  <si>
    <t>Poland Zlotych</t>
  </si>
  <si>
    <t>Romania New Lei</t>
  </si>
  <si>
    <t>Russia Rubles</t>
  </si>
  <si>
    <t>Saudi Arabian Riyal</t>
  </si>
  <si>
    <t>Sweden Kronor</t>
  </si>
  <si>
    <t>Singapore Dollars</t>
  </si>
  <si>
    <t>Thailand Baht</t>
  </si>
  <si>
    <t>Turkey Lira</t>
  </si>
  <si>
    <t>Taiwan New Dollars</t>
  </si>
  <si>
    <t>United States Dollars</t>
  </si>
  <si>
    <t>South Africa Rand</t>
  </si>
  <si>
    <t>Comparable and consistent margin under a prudence approach</t>
  </si>
  <si>
    <t>Calculation of C-MOCE for non-life</t>
  </si>
  <si>
    <t>Non-Life MOCE Reserves</t>
  </si>
  <si>
    <t>Undiscounted reserves</t>
  </si>
  <si>
    <t>Current estimate</t>
  </si>
  <si>
    <t>Non-Life MOCE Unearned Premium</t>
  </si>
  <si>
    <t>GAAP UEP</t>
  </si>
  <si>
    <t>DAC</t>
  </si>
  <si>
    <t>C-MOCE for non-life</t>
  </si>
  <si>
    <t>ICS requirements for</t>
  </si>
  <si>
    <t>Insurance Risk</t>
  </si>
  <si>
    <t xml:space="preserve">Diversification </t>
  </si>
  <si>
    <t>Morbidity</t>
  </si>
  <si>
    <t>Expense</t>
  </si>
  <si>
    <t>Benefit</t>
  </si>
  <si>
    <t>Normal</t>
  </si>
  <si>
    <t>ICS Requirement for Life Liability</t>
  </si>
  <si>
    <t>Calculation of CC-MOCE for life</t>
  </si>
  <si>
    <t xml:space="preserve"> Approximation</t>
  </si>
  <si>
    <t>Implied Mean</t>
  </si>
  <si>
    <t>Implied 0.995</t>
  </si>
  <si>
    <t>Mu</t>
  </si>
  <si>
    <t>Sigma</t>
  </si>
  <si>
    <t>Outputs</t>
  </si>
  <si>
    <t>C-MOCE as % SD</t>
  </si>
  <si>
    <t>C-MOCE for life</t>
  </si>
  <si>
    <t>C-MOCE as % CE</t>
  </si>
  <si>
    <t>ICS Capital resources</t>
  </si>
  <si>
    <t>Tier 1 ICS Capital</t>
  </si>
  <si>
    <t>Market adjusted 
valuation</t>
  </si>
  <si>
    <t>GAAP+ 
valuation</t>
  </si>
  <si>
    <t>TOTAL TIER 1 ICS CAPITAL                                                                         (A + B)</t>
  </si>
  <si>
    <t>I</t>
  </si>
  <si>
    <t>QUALIFYING FINANCIAL INSTRUMENTS</t>
  </si>
  <si>
    <t>G</t>
  </si>
  <si>
    <t>CAPITAL ELEMENTS OTHER THAN FINANCIAL INSTRUMENTS</t>
  </si>
  <si>
    <t>H</t>
  </si>
  <si>
    <t>Share Premium and Other Contributed Surplus</t>
  </si>
  <si>
    <t>Unrestricted reserves and reserves set up under regulatory requirements that can be unappropriated under supervisory approval</t>
  </si>
  <si>
    <t>Tier 2 ICS Capital</t>
  </si>
  <si>
    <t>TOTAL TIER 2 ICS CAPITAL                                                           (D + E) and (J + K)</t>
  </si>
  <si>
    <t>F</t>
  </si>
  <si>
    <t>L</t>
  </si>
  <si>
    <t>D</t>
  </si>
  <si>
    <t>J</t>
  </si>
  <si>
    <t>E</t>
  </si>
  <si>
    <t>K</t>
  </si>
  <si>
    <t>Share premium resulting from the issuance of Paid-Up Tier 2 capital instruments</t>
  </si>
  <si>
    <t>50% of each pension plan surplus asset, net of any eligible DTLs, excluded from Tier 1 Capital</t>
  </si>
  <si>
    <t>Realizable value of net DTA that relies on future profitability, excluded from Tier 1 Capital</t>
  </si>
  <si>
    <t xml:space="preserve">Realizable value of Computer software intangibles, excluded from Tier 1 Capital </t>
  </si>
  <si>
    <t>Total Non-Paid-Up Tier 2 Capital</t>
  </si>
  <si>
    <t>Potential Capital Elements Other than Capital Instruments</t>
  </si>
  <si>
    <t>Reserves set up under regulatory requirements to cover specific types of risks and can be unappropriated under supervisory approval</t>
  </si>
  <si>
    <t>Exclusions from Tier 1 and Core Capital</t>
  </si>
  <si>
    <t>Reciprocal holdings arranged either directly or indirectly between financial institutions and that artificially inflate the Tier 1 capital position of the IAIG</t>
  </si>
  <si>
    <t>Direct investments in own Tier 1 capital instruments</t>
  </si>
  <si>
    <t>Exclusions from Tier 2 and Additional Capital</t>
  </si>
  <si>
    <t>Reciprocal cross holdings arranged either directly or indirectly between financial insitutions and that artificially inflate the Tier 2 capital of the IAIG</t>
  </si>
  <si>
    <t>Codes/References</t>
  </si>
  <si>
    <t>GAAP Plus Memo Items</t>
  </si>
  <si>
    <t>Detailed reconciliation (insurance liabilities)</t>
  </si>
  <si>
    <t>GAAP Reported</t>
  </si>
  <si>
    <t>Update from Net to Gross Premium Valuation</t>
  </si>
  <si>
    <t>Update to Current Assumptions and Rates</t>
  </si>
  <si>
    <t>Less Risk Margin/Non-performance Risk</t>
  </si>
  <si>
    <t>GAAP Plus                    (GAAP rates)</t>
  </si>
  <si>
    <t>Apply Discount Curve                   (IAIS rates)</t>
  </si>
  <si>
    <t>GAAP Plus               (IAIS rates)</t>
  </si>
  <si>
    <t>Contract Boundary Differences</t>
  </si>
  <si>
    <t>Update to MAV assumptions</t>
  </si>
  <si>
    <t>MAV</t>
  </si>
  <si>
    <t>Level of Accuracy Code (GAAP Plus)</t>
  </si>
  <si>
    <t>Level of Accuracy Code (MAV)</t>
  </si>
  <si>
    <t>AOCI on Debt Securities by Product</t>
  </si>
  <si>
    <t>Long Term AOCI by Product</t>
  </si>
  <si>
    <t>Credit Portion of LT AOCI Adjustment</t>
  </si>
  <si>
    <t>DAC by Product</t>
  </si>
  <si>
    <t>[2]</t>
  </si>
  <si>
    <t>[3]</t>
  </si>
  <si>
    <t>[4]</t>
  </si>
  <si>
    <t>[5]</t>
  </si>
  <si>
    <t>[6=1+2+3-4+5]</t>
  </si>
  <si>
    <t>[7]</t>
  </si>
  <si>
    <t>[8=6+7]</t>
  </si>
  <si>
    <t>[9]</t>
  </si>
  <si>
    <t>[10]</t>
  </si>
  <si>
    <t>[11]</t>
  </si>
  <si>
    <t>[12=8+9+10+11]</t>
  </si>
  <si>
    <t>[13]</t>
  </si>
  <si>
    <t>[14]</t>
  </si>
  <si>
    <t>[15]</t>
  </si>
  <si>
    <t>[16]</t>
  </si>
  <si>
    <t>[17]</t>
  </si>
  <si>
    <t>[18]</t>
  </si>
  <si>
    <t>A – High degree of accuracy</t>
  </si>
  <si>
    <t>B – Moderate degree of accuracy</t>
  </si>
  <si>
    <t>C – Lower degree of accuracy</t>
  </si>
  <si>
    <t xml:space="preserve">Property </t>
  </si>
  <si>
    <t>Memo Items unable to broken out by product</t>
  </si>
  <si>
    <t>Reinsurance Assets</t>
  </si>
  <si>
    <t>Summary of ICS non-life risks</t>
  </si>
  <si>
    <t>Mortality risk under GAAP Plus</t>
  </si>
  <si>
    <t>Market &gt;&gt; Interest rate risk (GAAP Plus)</t>
  </si>
  <si>
    <t>Market &gt;&gt; Equity risk (GAAP Plus)</t>
  </si>
  <si>
    <t>Total Insurance liabilities (without cc-MOCE)</t>
  </si>
  <si>
    <t>Insurance Liabilities and Sovereign Exposures by Jurisdiction</t>
  </si>
  <si>
    <t>Segmentation by Jurisdiction</t>
  </si>
  <si>
    <t>Region</t>
  </si>
  <si>
    <t>Net Insurance Liabilities (MAV)</t>
  </si>
  <si>
    <t>Sovereign Exposures in Sovereign Currency</t>
  </si>
  <si>
    <t>Sovereign Exposures in Different Currency</t>
  </si>
  <si>
    <t>Sovereign Currency</t>
  </si>
  <si>
    <t>Asia</t>
  </si>
  <si>
    <t>Chinese Yuan</t>
  </si>
  <si>
    <t>Hong Kong</t>
  </si>
  <si>
    <t>Hong Kong Dollar</t>
  </si>
  <si>
    <t>India</t>
  </si>
  <si>
    <t>Indian Rupee</t>
  </si>
  <si>
    <t>Japanese Yen</t>
  </si>
  <si>
    <t>Malaysia</t>
  </si>
  <si>
    <t>Malaysian Ringgit</t>
  </si>
  <si>
    <t>Singapore Dollar</t>
  </si>
  <si>
    <t>South Korea</t>
  </si>
  <si>
    <t>South Korean Won</t>
  </si>
  <si>
    <t>Thailand</t>
  </si>
  <si>
    <t>Thai Baht</t>
  </si>
  <si>
    <t>Turkey</t>
  </si>
  <si>
    <t>Turkish Lira</t>
  </si>
  <si>
    <t>Next 5 largest jurisdictions based on insurance liabilities:</t>
  </si>
  <si>
    <t>Austria</t>
  </si>
  <si>
    <t>Belgium</t>
  </si>
  <si>
    <t>Finland</t>
  </si>
  <si>
    <t>France</t>
  </si>
  <si>
    <t>Germany</t>
  </si>
  <si>
    <t>Greece</t>
  </si>
  <si>
    <t>Ireland</t>
  </si>
  <si>
    <t>Italy</t>
  </si>
  <si>
    <t>Netherlands</t>
  </si>
  <si>
    <t>Portugal</t>
  </si>
  <si>
    <t>Slovakia</t>
  </si>
  <si>
    <t>Slovenia</t>
  </si>
  <si>
    <t>Spain</t>
  </si>
  <si>
    <t>Bulgaria</t>
  </si>
  <si>
    <t>BGN</t>
  </si>
  <si>
    <t>Bulgarian Lev</t>
  </si>
  <si>
    <t>Croatia</t>
  </si>
  <si>
    <t>HRK</t>
  </si>
  <si>
    <t>Croatian Kuna</t>
  </si>
  <si>
    <t>Czech republic</t>
  </si>
  <si>
    <t>Czech Koruna</t>
  </si>
  <si>
    <t>Great Britain</t>
  </si>
  <si>
    <t>Pound Sterling</t>
  </si>
  <si>
    <t>Hungary</t>
  </si>
  <si>
    <t>Hungarian Forint</t>
  </si>
  <si>
    <t>Norway</t>
  </si>
  <si>
    <t>Norwegian Krone</t>
  </si>
  <si>
    <t>Poland</t>
  </si>
  <si>
    <t>Polish Zloty</t>
  </si>
  <si>
    <t>Romania</t>
  </si>
  <si>
    <t>Romanian Leu</t>
  </si>
  <si>
    <t>Russia</t>
  </si>
  <si>
    <t>Russian Ruble</t>
  </si>
  <si>
    <t>Sweden</t>
  </si>
  <si>
    <t>Swedish Krona</t>
  </si>
  <si>
    <t>Switzerland</t>
  </si>
  <si>
    <t>Swiss Franc</t>
  </si>
  <si>
    <t>Canadian Dollar</t>
  </si>
  <si>
    <t>Mexico</t>
  </si>
  <si>
    <t>Mexican Peso</t>
  </si>
  <si>
    <t>United States of America</t>
  </si>
  <si>
    <t>U.S. Dollar</t>
  </si>
  <si>
    <t>South America</t>
  </si>
  <si>
    <t>Brazil</t>
  </si>
  <si>
    <t>Brazil Real</t>
  </si>
  <si>
    <t>Chile</t>
  </si>
  <si>
    <t>Chilean Peso</t>
  </si>
  <si>
    <t>Columbia</t>
  </si>
  <si>
    <t>Colombian Peso</t>
  </si>
  <si>
    <t>Oceania &amp; Africa</t>
  </si>
  <si>
    <t>Australia</t>
  </si>
  <si>
    <t>Australian dollar</t>
  </si>
  <si>
    <t>New Zealand</t>
  </si>
  <si>
    <t>New Zealand Dollar</t>
  </si>
  <si>
    <t>South Africa</t>
  </si>
  <si>
    <t>South African Rand</t>
  </si>
  <si>
    <t>Excel name</t>
  </si>
  <si>
    <t>FT15.ReportingUnits</t>
  </si>
  <si>
    <t>Reporting units</t>
  </si>
  <si>
    <t>FT15.ReportingPhases</t>
  </si>
  <si>
    <t>Reporting phases</t>
  </si>
  <si>
    <t>FT15.ValuationBasis</t>
  </si>
  <si>
    <t>Valuation basis</t>
  </si>
  <si>
    <t>PCR</t>
  </si>
  <si>
    <t>GAAP</t>
  </si>
  <si>
    <t>GAAP+</t>
  </si>
  <si>
    <t>FT15.Areas</t>
  </si>
  <si>
    <t>Geographical areas</t>
  </si>
  <si>
    <t>FT15.SpecificCurrencies</t>
  </si>
  <si>
    <t>Specific currencies for which discounting curves are provided</t>
  </si>
  <si>
    <t>Top 35 traded currencies (see page 12 of http://www.bis.org/publ/rpfx13fx.pdf)</t>
  </si>
  <si>
    <t>FT15.LSegm</t>
  </si>
  <si>
    <t>Life segmentation for BCR and ICS purposes</t>
  </si>
  <si>
    <t>FT15.NLSegm</t>
  </si>
  <si>
    <t>Non-Life segmentation for BCR purposes</t>
  </si>
  <si>
    <t>FT15.ICS.NLSegm</t>
  </si>
  <si>
    <t>Non-Life segmentation for ICS purposes</t>
  </si>
  <si>
    <t>Non-Traditional</t>
  </si>
  <si>
    <t>FT15.Cat.Perils</t>
  </si>
  <si>
    <t>Natural catastrophe perils</t>
  </si>
  <si>
    <t>Natural catastrophe</t>
  </si>
  <si>
    <t xml:space="preserve">Tropical cyclone, hurricane, typhoon </t>
  </si>
  <si>
    <t xml:space="preserve">Extra-tropical windstorm / winter-storm </t>
  </si>
  <si>
    <t xml:space="preserve">Earthquake </t>
  </si>
  <si>
    <t>Other material natural perils</t>
  </si>
  <si>
    <t xml:space="preserve"> Flood</t>
  </si>
  <si>
    <t>Tornado, hail, convective storms</t>
  </si>
  <si>
    <t>Other risks</t>
  </si>
  <si>
    <t>Other catastrophe</t>
  </si>
  <si>
    <t>Terrorist attack (e.g. city centre)</t>
  </si>
  <si>
    <t>Liability threat</t>
  </si>
  <si>
    <t>Marine (e.g. collision, ship and cargo sinking, offshore energy rig damage)</t>
  </si>
  <si>
    <t>Aviation (e.g. crash, collision)</t>
  </si>
  <si>
    <t>IMF.AdvancedEconomies</t>
  </si>
  <si>
    <t>Advanced economies</t>
  </si>
  <si>
    <t>http://www.imf.org/external/pubs/ft/weo/2015/01/weodata/groups.htm</t>
  </si>
  <si>
    <t>Cyprus</t>
  </si>
  <si>
    <t>Czech Republic</t>
  </si>
  <si>
    <t>Denmark</t>
  </si>
  <si>
    <t>Estonia</t>
  </si>
  <si>
    <t>Iceland</t>
  </si>
  <si>
    <t>Israel</t>
  </si>
  <si>
    <t>Latvia</t>
  </si>
  <si>
    <t>Lithuania</t>
  </si>
  <si>
    <t>Luxembourg</t>
  </si>
  <si>
    <t>Malta</t>
  </si>
  <si>
    <t>San Marino</t>
  </si>
  <si>
    <t>Slovak Republic</t>
  </si>
  <si>
    <t>Taiwan Province of China</t>
  </si>
  <si>
    <t>United Kingdom</t>
  </si>
  <si>
    <t>United States</t>
  </si>
  <si>
    <t>2015 IAIS Field Testing Template</t>
  </si>
  <si>
    <r>
      <rPr>
        <b/>
        <sz val="8"/>
        <color theme="1"/>
        <rFont val="Arial"/>
        <family val="2"/>
      </rPr>
      <t>PUBLIC</t>
    </r>
    <r>
      <rPr>
        <sz val="8"/>
        <color theme="1"/>
        <rFont val="Arial"/>
        <family val="2"/>
      </rPr>
      <t xml:space="preserve">
This is an IAIS working document used for field testing purposes. It does not purport to represent or prejudge the final proposals of the IAIS on ICS or HLA. 
As with any field testing exercise, clarification was provided by the IAIS in response to questions asked by the volunteers. The questions and responses provided have been made available separately. The Technical Specifications, Template and Questionnaire must be read in conjunction with relevant Q&amp;As and the Technical Explanation of 2015 Field Testing Yield Curves Derivation to provide an accurate and up-to-date understanding of the field testing exercise.
</t>
    </r>
  </si>
  <si>
    <t>This spreadsheet supports the IAIS Field Testing for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</si>
</sst>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_-;\-* #,##0_-;_-* &quot;-&quot;_-;_-@_-"/>
    <numFmt numFmtId="165" formatCode="_-* #,##0.00_-;\-* #,##0.00_-;_-* &quot;-&quot;??_-;_-@_-"/>
    <numFmt numFmtId="166" formatCode="0.0%"/>
    <numFmt numFmtId="167" formatCode="#,##0.0"/>
    <numFmt numFmtId="168" formatCode="#,##0;\(#,##0\)"/>
    <numFmt numFmtId="169" formatCode="\T0"/>
    <numFmt numFmtId="170" formatCode="\[0\]"/>
    <numFmt numFmtId="171" formatCode="000"/>
    <numFmt numFmtId="172" formatCode="0.0"/>
    <numFmt numFmtId="173" formatCode="&quot;Year &quot;##"/>
    <numFmt numFmtId="174" formatCode="0.00000000"/>
    <numFmt numFmtId="175" formatCode="0.000%"/>
    <numFmt numFmtId="176" formatCode="_(* #,##0_);_(* \(#,##0\);_(* &quot;-&quot;??_);_(@_)"/>
    <numFmt numFmtId="177" formatCode="\#0"/>
  </numFmts>
  <fonts count="67" x14ac:knownFonts="1">
    <font>
      <sz val="10"/>
      <color theme="1"/>
      <name val="Arial"/>
      <family val="2"/>
    </font>
    <font>
      <sz val="11"/>
      <color theme="1"/>
      <name val="Arial"/>
      <family val="2"/>
    </font>
    <font>
      <sz val="11"/>
      <color rgb="FF9C0006"/>
      <name val="Arial"/>
      <family val="2"/>
    </font>
    <font>
      <sz val="11"/>
      <color rgb="FFFF0000"/>
      <name val="Arial"/>
      <family val="2"/>
    </font>
    <font>
      <b/>
      <sz val="11"/>
      <color theme="1"/>
      <name val="Arial"/>
      <family val="2"/>
    </font>
    <font>
      <sz val="11"/>
      <color theme="0"/>
      <name val="Arial"/>
      <family val="2"/>
    </font>
    <font>
      <sz val="8"/>
      <color theme="1"/>
      <name val="Arial"/>
      <family val="2"/>
    </font>
    <font>
      <sz val="10"/>
      <color theme="1"/>
      <name val="Arial"/>
      <family val="2"/>
    </font>
    <font>
      <i/>
      <sz val="9"/>
      <color theme="1"/>
      <name val="Arial"/>
      <family val="2"/>
    </font>
    <font>
      <sz val="9"/>
      <color theme="1"/>
      <name val="Arial"/>
      <family val="2"/>
    </font>
    <font>
      <b/>
      <sz val="11"/>
      <name val="Arial"/>
      <family val="2"/>
    </font>
    <font>
      <b/>
      <sz val="10"/>
      <color theme="1"/>
      <name val="Arial"/>
      <family val="2"/>
    </font>
    <font>
      <b/>
      <sz val="9"/>
      <color theme="1"/>
      <name val="Arial"/>
      <family val="2"/>
    </font>
    <font>
      <u/>
      <sz val="9"/>
      <color theme="10"/>
      <name val="Arial"/>
      <family val="2"/>
    </font>
    <font>
      <sz val="9"/>
      <color theme="0"/>
      <name val="Arial"/>
      <family val="2"/>
    </font>
    <font>
      <sz val="9"/>
      <color theme="10"/>
      <name val="Arial"/>
      <family val="2"/>
    </font>
    <font>
      <u/>
      <sz val="9"/>
      <color theme="0"/>
      <name val="Arial"/>
      <family val="2"/>
    </font>
    <font>
      <i/>
      <sz val="11"/>
      <color theme="1"/>
      <name val="Arial"/>
      <family val="2"/>
    </font>
    <font>
      <u/>
      <sz val="9"/>
      <color theme="1"/>
      <name val="Arial"/>
      <family val="2"/>
    </font>
    <font>
      <u/>
      <sz val="8"/>
      <color theme="1"/>
      <name val="Arial"/>
      <family val="2"/>
    </font>
    <font>
      <sz val="8"/>
      <name val="Arial Narrow"/>
      <family val="2"/>
    </font>
    <font>
      <b/>
      <i/>
      <sz val="8"/>
      <name val="Arial Narrow"/>
      <family val="2"/>
    </font>
    <font>
      <sz val="8"/>
      <color theme="1"/>
      <name val="Arial Narrow"/>
      <family val="2"/>
    </font>
    <font>
      <sz val="10"/>
      <name val="Arial"/>
      <family val="2"/>
    </font>
    <font>
      <b/>
      <sz val="12"/>
      <name val="Arial"/>
      <family val="2"/>
    </font>
    <font>
      <b/>
      <sz val="10"/>
      <name val="Arial"/>
      <family val="2"/>
    </font>
    <font>
      <sz val="12"/>
      <name val="Arial"/>
      <family val="2"/>
    </font>
    <font>
      <sz val="11"/>
      <name val="Arial"/>
      <family val="2"/>
    </font>
    <font>
      <sz val="9"/>
      <name val="Arial"/>
      <family val="2"/>
    </font>
    <font>
      <b/>
      <i/>
      <sz val="10"/>
      <name val="Arial"/>
      <family val="2"/>
    </font>
    <font>
      <b/>
      <sz val="8"/>
      <name val="Arial"/>
      <family val="2"/>
    </font>
    <font>
      <sz val="8"/>
      <name val="Arial"/>
      <family val="2"/>
    </font>
    <font>
      <b/>
      <sz val="9"/>
      <name val="Arial"/>
      <family val="2"/>
    </font>
    <font>
      <vertAlign val="subscript"/>
      <sz val="11"/>
      <color theme="1"/>
      <name val="Calibri"/>
      <family val="2"/>
      <scheme val="minor"/>
    </font>
    <font>
      <sz val="10"/>
      <name val="Arial Narrow"/>
      <family val="2"/>
    </font>
    <font>
      <i/>
      <sz val="10"/>
      <name val="Arial Narrow"/>
      <family val="2"/>
    </font>
    <font>
      <i/>
      <sz val="10"/>
      <color theme="1"/>
      <name val="Arial"/>
      <family val="2"/>
    </font>
    <font>
      <sz val="10"/>
      <color theme="1"/>
      <name val="Arial Narrow"/>
      <family val="2"/>
    </font>
    <font>
      <sz val="11"/>
      <color theme="1"/>
      <name val="Arial Narrow"/>
      <family val="2"/>
    </font>
    <font>
      <b/>
      <i/>
      <sz val="11"/>
      <color theme="1"/>
      <name val="Arial"/>
      <family val="2"/>
    </font>
    <font>
      <b/>
      <sz val="12"/>
      <color theme="1"/>
      <name val="Arial"/>
      <family val="2"/>
    </font>
    <font>
      <sz val="8"/>
      <color theme="0" tint="-0.34998626667073579"/>
      <name val="Arial"/>
      <family val="2"/>
    </font>
    <font>
      <i/>
      <sz val="10"/>
      <color rgb="FFFF0000"/>
      <name val="Arial"/>
      <family val="2"/>
    </font>
    <font>
      <sz val="10"/>
      <color rgb="FFFF0000"/>
      <name val="Arial"/>
      <family val="2"/>
    </font>
    <font>
      <sz val="12"/>
      <color theme="0" tint="-0.34998626667073579"/>
      <name val="Arial"/>
      <family val="2"/>
    </font>
    <font>
      <sz val="12"/>
      <color rgb="FFFF0000"/>
      <name val="Arial"/>
      <family val="2"/>
    </font>
    <font>
      <b/>
      <sz val="10"/>
      <color rgb="FF0000FF"/>
      <name val="Arial"/>
      <family val="2"/>
    </font>
    <font>
      <sz val="10"/>
      <color rgb="FF0000FF"/>
      <name val="Arial"/>
      <family val="2"/>
    </font>
    <font>
      <b/>
      <sz val="10"/>
      <color rgb="FFFF0000"/>
      <name val="Arial"/>
      <family val="2"/>
    </font>
    <font>
      <b/>
      <sz val="10"/>
      <color rgb="FF00B050"/>
      <name val="Arial"/>
      <family val="2"/>
    </font>
    <font>
      <sz val="10"/>
      <color rgb="FF00B050"/>
      <name val="Arial"/>
      <family val="2"/>
    </font>
    <font>
      <sz val="8"/>
      <color indexed="8"/>
      <name val="Arial"/>
      <family val="2"/>
    </font>
    <font>
      <sz val="9"/>
      <color indexed="81"/>
      <name val="Tahoma"/>
      <family val="2"/>
    </font>
    <font>
      <b/>
      <vertAlign val="superscript"/>
      <sz val="11"/>
      <name val="Arial"/>
      <family val="2"/>
    </font>
    <font>
      <vertAlign val="superscript"/>
      <sz val="10"/>
      <color theme="1"/>
      <name val="Arial Narrow"/>
      <family val="2"/>
    </font>
    <font>
      <sz val="9"/>
      <name val="Arial Narrow"/>
      <family val="2"/>
    </font>
    <font>
      <b/>
      <sz val="9"/>
      <name val="Arial Narrow"/>
      <family val="2"/>
    </font>
    <font>
      <u/>
      <sz val="11"/>
      <color theme="10"/>
      <name val="Arial"/>
      <family val="2"/>
    </font>
    <font>
      <u/>
      <sz val="11"/>
      <color theme="1"/>
      <name val="Arial"/>
      <family val="2"/>
    </font>
    <font>
      <b/>
      <sz val="14"/>
      <color theme="1"/>
      <name val="Arial"/>
      <family val="2"/>
    </font>
    <font>
      <i/>
      <u/>
      <sz val="9"/>
      <color theme="1"/>
      <name val="Arial"/>
      <family val="2"/>
    </font>
    <font>
      <i/>
      <sz val="8"/>
      <color theme="1"/>
      <name val="Arial"/>
      <family val="2"/>
    </font>
    <font>
      <vertAlign val="superscript"/>
      <sz val="10"/>
      <color theme="1"/>
      <name val="Arial"/>
      <family val="2"/>
    </font>
    <font>
      <i/>
      <sz val="8"/>
      <name val="Arial"/>
      <family val="2"/>
    </font>
    <font>
      <b/>
      <sz val="11"/>
      <color theme="1"/>
      <name val="Calibri"/>
      <family val="2"/>
      <scheme val="minor"/>
    </font>
    <font>
      <b/>
      <sz val="8"/>
      <color theme="1"/>
      <name val="Arial"/>
      <family val="2"/>
    </font>
    <font>
      <b/>
      <i/>
      <sz val="8"/>
      <name val="Arial"/>
      <family val="2"/>
    </font>
  </fonts>
  <fills count="23">
    <fill>
      <patternFill patternType="none"/>
    </fill>
    <fill>
      <patternFill patternType="gray125"/>
    </fill>
    <fill>
      <patternFill patternType="solid">
        <fgColor rgb="FFFFC7CE"/>
      </patternFill>
    </fill>
    <fill>
      <patternFill patternType="solid">
        <fgColor theme="0" tint="-0.14999847407452621"/>
        <bgColor indexed="64"/>
      </patternFill>
    </fill>
    <fill>
      <patternFill patternType="solid">
        <fgColor theme="8" tint="0.59999389629810485"/>
        <bgColor indexed="64"/>
      </patternFill>
    </fill>
    <fill>
      <patternFill patternType="solid">
        <fgColor theme="7" tint="0.39994506668294322"/>
        <bgColor indexed="64"/>
      </patternFill>
    </fill>
    <fill>
      <patternFill patternType="solid">
        <fgColor rgb="FFFFFF99"/>
        <bgColor indexed="64"/>
      </patternFill>
    </fill>
    <fill>
      <patternFill patternType="solid">
        <fgColor rgb="FFFFC00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2" tint="-9.9948118533890809E-2"/>
        <bgColor indexed="64"/>
      </patternFill>
    </fill>
    <fill>
      <patternFill patternType="solid">
        <fgColor theme="0" tint="-0.34998626667073579"/>
        <bgColor indexed="64"/>
      </patternFill>
    </fill>
    <fill>
      <patternFill patternType="solid">
        <fgColor theme="0" tint="-0.14996795556505021"/>
        <bgColor indexed="64"/>
      </patternFill>
    </fill>
    <fill>
      <patternFill patternType="solid">
        <fgColor theme="4" tint="0.59996337778862885"/>
        <bgColor indexed="64"/>
      </patternFill>
    </fill>
    <fill>
      <patternFill patternType="gray0625">
        <bgColor theme="0" tint="-0.14996795556505021"/>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D9D9D9"/>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thin">
        <color indexed="64"/>
      </left>
      <right style="thin">
        <color rgb="FF3F3F3F"/>
      </right>
      <top/>
      <bottom/>
      <diagonal/>
    </border>
    <border>
      <left style="thin">
        <color indexed="64"/>
      </left>
      <right style="thin">
        <color rgb="FF3F3F3F"/>
      </right>
      <top/>
      <bottom style="thin">
        <color indexed="64"/>
      </bottom>
      <diagonal/>
    </border>
    <border>
      <left style="thin">
        <color indexed="64"/>
      </left>
      <right style="thin">
        <color rgb="FF3F3F3F"/>
      </right>
      <top style="thin">
        <color indexed="64"/>
      </top>
      <bottom/>
      <diagonal/>
    </border>
    <border>
      <left style="thin">
        <color rgb="FF3F3F3F"/>
      </left>
      <right style="thin">
        <color rgb="FF3F3F3F"/>
      </right>
      <top style="thin">
        <color indexed="64"/>
      </top>
      <bottom/>
      <diagonal/>
    </border>
    <border>
      <left style="thin">
        <color rgb="FF3F3F3F"/>
      </left>
      <right style="thin">
        <color rgb="FF3F3F3F"/>
      </right>
      <top/>
      <bottom/>
      <diagonal/>
    </border>
    <border>
      <left style="thin">
        <color rgb="FF3F3F3F"/>
      </left>
      <right style="thin">
        <color indexed="64"/>
      </right>
      <top/>
      <bottom/>
      <diagonal/>
    </border>
    <border>
      <left style="thin">
        <color rgb="FF3F3F3F"/>
      </left>
      <right style="thin">
        <color rgb="FF3F3F3F"/>
      </right>
      <top/>
      <bottom style="thin">
        <color indexed="64"/>
      </bottom>
      <diagonal/>
    </border>
    <border>
      <left style="thin">
        <color rgb="FF3F3F3F"/>
      </left>
      <right style="thin">
        <color indexed="64"/>
      </right>
      <top/>
      <bottom style="thin">
        <color indexed="64"/>
      </bottom>
      <diagonal/>
    </border>
    <border>
      <left style="thin">
        <color rgb="FF3F3F3F"/>
      </left>
      <right style="thin">
        <color indexed="64"/>
      </right>
      <top style="thin">
        <color indexed="64"/>
      </top>
      <bottom/>
      <diagonal/>
    </border>
    <border>
      <left style="thin">
        <color indexed="64"/>
      </left>
      <right style="thin">
        <color indexed="64"/>
      </right>
      <top/>
      <bottom style="dotted">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20">
    <xf numFmtId="0" fontId="0" fillId="0" borderId="0"/>
    <xf numFmtId="0" fontId="2" fillId="2" borderId="0" applyNumberFormat="0" applyBorder="0" applyAlignment="0" applyProtection="0"/>
    <xf numFmtId="0" fontId="1" fillId="0" borderId="0" applyNumberFormat="0" applyFont="0" applyFill="0" applyBorder="0" applyAlignment="0" applyProtection="0"/>
    <xf numFmtId="166" fontId="6" fillId="3" borderId="2" applyNumberFormat="0" applyBorder="0">
      <alignment vertical="center"/>
    </xf>
    <xf numFmtId="167" fontId="7" fillId="4" borderId="0" applyBorder="0">
      <alignment vertical="center"/>
      <protection locked="0"/>
    </xf>
    <xf numFmtId="167" fontId="7" fillId="5" borderId="0" applyFont="0" applyBorder="0">
      <alignment vertical="center"/>
      <protection locked="0"/>
    </xf>
    <xf numFmtId="168" fontId="10" fillId="6" borderId="1" applyNumberFormat="0" applyFont="0" applyBorder="0">
      <alignment vertical="center"/>
      <protection locked="0"/>
    </xf>
    <xf numFmtId="167" fontId="11" fillId="7" borderId="1">
      <alignment horizontal="center" vertical="center"/>
      <protection locked="0"/>
    </xf>
    <xf numFmtId="0" fontId="1" fillId="12" borderId="7" applyFont="0" applyBorder="0" applyAlignment="0">
      <alignment horizontal="left" indent="1"/>
    </xf>
    <xf numFmtId="0" fontId="1" fillId="13" borderId="0">
      <alignment horizontal="center" vertical="center"/>
    </xf>
    <xf numFmtId="169" fontId="20" fillId="3" borderId="3">
      <alignment horizontal="center" vertical="center"/>
    </xf>
    <xf numFmtId="170" fontId="21" fillId="3" borderId="2">
      <alignment horizontal="center" vertical="center"/>
    </xf>
    <xf numFmtId="170" fontId="22" fillId="14" borderId="0" applyBorder="0">
      <alignment horizontal="center" vertical="center"/>
    </xf>
    <xf numFmtId="167" fontId="7" fillId="15" borderId="0" applyNumberFormat="0" applyFont="0" applyBorder="0">
      <alignment vertical="center"/>
      <protection locked="0"/>
    </xf>
    <xf numFmtId="0" fontId="23" fillId="16" borderId="11" applyNumberFormat="0" applyFont="0" applyBorder="0" applyAlignment="0"/>
    <xf numFmtId="14" fontId="1" fillId="17" borderId="1" applyFont="0" applyBorder="0">
      <alignment vertical="center"/>
      <protection locked="0"/>
    </xf>
    <xf numFmtId="0" fontId="7" fillId="4" borderId="0" applyFont="0" applyBorder="0">
      <alignment horizontal="center" vertical="center"/>
      <protection locked="0"/>
    </xf>
    <xf numFmtId="10" fontId="6" fillId="18" borderId="0" applyBorder="0">
      <alignment horizontal="center" vertical="center"/>
    </xf>
    <xf numFmtId="166" fontId="7" fillId="17" borderId="0" applyFont="0" applyBorder="0">
      <alignment vertical="center"/>
      <protection locked="0"/>
    </xf>
    <xf numFmtId="0" fontId="57" fillId="0" borderId="0" applyNumberFormat="0" applyFill="0" applyBorder="0" applyAlignment="0" applyProtection="0"/>
  </cellStyleXfs>
  <cellXfs count="1563">
    <xf numFmtId="0" fontId="0" fillId="0" borderId="0" xfId="0"/>
    <xf numFmtId="0" fontId="6" fillId="0" borderId="0" xfId="2" applyFont="1" applyAlignment="1">
      <alignment horizontal="left"/>
    </xf>
    <xf numFmtId="0" fontId="8" fillId="0" borderId="1" xfId="0" applyFont="1" applyBorder="1" applyAlignment="1">
      <alignment horizontal="right"/>
    </xf>
    <xf numFmtId="0" fontId="9" fillId="3" borderId="0" xfId="3" applyNumberFormat="1" applyFont="1" applyBorder="1">
      <alignment vertical="center"/>
    </xf>
    <xf numFmtId="0" fontId="6" fillId="3" borderId="0" xfId="3" applyNumberFormat="1" applyBorder="1">
      <alignment vertical="center"/>
    </xf>
    <xf numFmtId="167" fontId="9" fillId="4" borderId="0" xfId="4" applyFont="1" applyBorder="1">
      <alignment vertical="center"/>
      <protection locked="0"/>
    </xf>
    <xf numFmtId="167" fontId="7" fillId="4" borderId="0" xfId="4" applyBorder="1">
      <alignment vertical="center"/>
      <protection locked="0"/>
    </xf>
    <xf numFmtId="167" fontId="9" fillId="5" borderId="0" xfId="5" applyFont="1" applyBorder="1">
      <alignment vertical="center"/>
      <protection locked="0"/>
    </xf>
    <xf numFmtId="167" fontId="1" fillId="5" borderId="0" xfId="5" applyFont="1" applyBorder="1">
      <alignment vertical="center"/>
      <protection locked="0"/>
    </xf>
    <xf numFmtId="0" fontId="9" fillId="6" borderId="0" xfId="6" applyNumberFormat="1" applyFont="1" applyBorder="1">
      <alignment vertical="center"/>
      <protection locked="0"/>
    </xf>
    <xf numFmtId="0" fontId="0" fillId="6" borderId="0" xfId="6" applyNumberFormat="1" applyFont="1" applyBorder="1">
      <alignment vertical="center"/>
      <protection locked="0"/>
    </xf>
    <xf numFmtId="167" fontId="7" fillId="7" borderId="0" xfId="7" applyFont="1" applyBorder="1" applyAlignment="1">
      <alignment horizontal="left" vertical="center"/>
      <protection locked="0"/>
    </xf>
    <xf numFmtId="0" fontId="0" fillId="7" borderId="0" xfId="6" applyNumberFormat="1" applyFont="1" applyFill="1" applyBorder="1">
      <alignment vertical="center"/>
      <protection locked="0"/>
    </xf>
    <xf numFmtId="0" fontId="0" fillId="0" borderId="0" xfId="2" applyFont="1"/>
    <xf numFmtId="0" fontId="11" fillId="8" borderId="3" xfId="2" applyFont="1" applyFill="1" applyBorder="1"/>
    <xf numFmtId="0" fontId="11" fillId="8" borderId="1" xfId="2" applyFont="1" applyFill="1" applyBorder="1"/>
    <xf numFmtId="0" fontId="12" fillId="8" borderId="4" xfId="2" applyFont="1" applyFill="1" applyBorder="1" applyAlignment="1">
      <alignment horizontal="centerContinuous"/>
    </xf>
    <xf numFmtId="0" fontId="12" fillId="8" borderId="5" xfId="2" applyFont="1" applyFill="1" applyBorder="1" applyAlignment="1">
      <alignment horizontal="centerContinuous"/>
    </xf>
    <xf numFmtId="0" fontId="12" fillId="8" borderId="1" xfId="2" applyFont="1" applyFill="1" applyBorder="1" applyAlignment="1">
      <alignment horizontal="center"/>
    </xf>
    <xf numFmtId="0" fontId="0" fillId="3" borderId="6" xfId="2" applyFont="1" applyFill="1" applyBorder="1"/>
    <xf numFmtId="0" fontId="0" fillId="3" borderId="1" xfId="2" applyFont="1" applyFill="1" applyBorder="1"/>
    <xf numFmtId="0" fontId="0" fillId="3" borderId="1" xfId="0" applyFill="1" applyBorder="1"/>
    <xf numFmtId="0" fontId="0" fillId="3" borderId="0" xfId="0" applyFill="1"/>
    <xf numFmtId="0" fontId="13" fillId="3" borderId="6" xfId="2" applyFont="1" applyFill="1" applyBorder="1" applyAlignment="1">
      <alignment horizontal="center" vertical="center"/>
    </xf>
    <xf numFmtId="0" fontId="0" fillId="3" borderId="7" xfId="2" applyFont="1" applyFill="1" applyBorder="1"/>
    <xf numFmtId="0" fontId="0" fillId="9" borderId="8" xfId="2" applyFont="1" applyFill="1" applyBorder="1"/>
    <xf numFmtId="0" fontId="0" fillId="9" borderId="1" xfId="2" applyFont="1" applyFill="1" applyBorder="1"/>
    <xf numFmtId="0" fontId="0" fillId="9" borderId="1" xfId="0" applyFill="1" applyBorder="1"/>
    <xf numFmtId="0" fontId="14" fillId="10" borderId="3" xfId="2" applyFont="1" applyFill="1" applyBorder="1" applyAlignment="1">
      <alignment horizontal="center" vertical="center"/>
    </xf>
    <xf numFmtId="0" fontId="15" fillId="6" borderId="9" xfId="2" applyFont="1" applyFill="1" applyBorder="1" applyAlignment="1">
      <alignment horizontal="center" vertical="center"/>
    </xf>
    <xf numFmtId="0" fontId="13" fillId="9" borderId="6" xfId="2" applyFont="1" applyFill="1" applyBorder="1" applyAlignment="1">
      <alignment horizontal="center" vertical="center"/>
    </xf>
    <xf numFmtId="0" fontId="5" fillId="10" borderId="6" xfId="2" applyFont="1" applyFill="1" applyBorder="1"/>
    <xf numFmtId="0" fontId="5" fillId="10" borderId="1" xfId="2" applyFont="1" applyFill="1" applyBorder="1"/>
    <xf numFmtId="0" fontId="5" fillId="10" borderId="1" xfId="0" applyFont="1" applyFill="1" applyBorder="1"/>
    <xf numFmtId="0" fontId="14" fillId="10" borderId="10" xfId="2" applyFont="1" applyFill="1" applyBorder="1" applyAlignment="1">
      <alignment horizontal="center" vertical="center"/>
    </xf>
    <xf numFmtId="0" fontId="0" fillId="3" borderId="11" xfId="0" applyFill="1" applyBorder="1"/>
    <xf numFmtId="0" fontId="16" fillId="10" borderId="7" xfId="2" applyFont="1" applyFill="1" applyBorder="1" applyAlignment="1">
      <alignment horizontal="center" vertical="center"/>
    </xf>
    <xf numFmtId="0" fontId="5" fillId="10" borderId="9" xfId="2" applyFont="1" applyFill="1" applyBorder="1"/>
    <xf numFmtId="0" fontId="5" fillId="10" borderId="6" xfId="0" applyFont="1" applyFill="1" applyBorder="1"/>
    <xf numFmtId="0" fontId="5" fillId="10" borderId="7" xfId="2" applyFont="1" applyFill="1" applyBorder="1"/>
    <xf numFmtId="0" fontId="5" fillId="10" borderId="11" xfId="2" applyFont="1" applyFill="1" applyBorder="1"/>
    <xf numFmtId="0" fontId="5" fillId="10" borderId="7" xfId="0" applyFont="1" applyFill="1" applyBorder="1"/>
    <xf numFmtId="0" fontId="5" fillId="10" borderId="8" xfId="2" applyFont="1" applyFill="1" applyBorder="1"/>
    <xf numFmtId="0" fontId="5" fillId="10" borderId="12" xfId="2" applyFont="1" applyFill="1" applyBorder="1"/>
    <xf numFmtId="0" fontId="5" fillId="10" borderId="8" xfId="0" applyFont="1" applyFill="1" applyBorder="1"/>
    <xf numFmtId="0" fontId="0" fillId="6" borderId="6" xfId="2" applyFont="1" applyFill="1" applyBorder="1"/>
    <xf numFmtId="0" fontId="0" fillId="6" borderId="3" xfId="2" applyFont="1" applyFill="1" applyBorder="1"/>
    <xf numFmtId="0" fontId="0" fillId="6" borderId="6" xfId="0" applyFill="1" applyBorder="1"/>
    <xf numFmtId="0" fontId="0" fillId="3" borderId="3" xfId="0" applyFill="1" applyBorder="1"/>
    <xf numFmtId="0" fontId="13" fillId="6" borderId="9" xfId="2" applyFont="1" applyFill="1" applyBorder="1" applyAlignment="1">
      <alignment horizontal="center" vertical="center"/>
    </xf>
    <xf numFmtId="0" fontId="0" fillId="6" borderId="7" xfId="2" applyFont="1" applyFill="1" applyBorder="1"/>
    <xf numFmtId="0" fontId="0" fillId="6" borderId="10" xfId="2" applyFont="1" applyFill="1" applyBorder="1" applyAlignment="1">
      <alignment horizontal="left" indent="1"/>
    </xf>
    <xf numFmtId="0" fontId="0" fillId="6" borderId="7" xfId="0" applyFill="1" applyBorder="1"/>
    <xf numFmtId="0" fontId="0" fillId="3" borderId="10" xfId="0" applyFill="1" applyBorder="1"/>
    <xf numFmtId="0" fontId="1" fillId="6" borderId="10" xfId="2" applyFont="1" applyFill="1" applyBorder="1" applyAlignment="1">
      <alignment horizontal="left" indent="2"/>
    </xf>
    <xf numFmtId="0" fontId="15" fillId="6" borderId="11" xfId="2" applyFont="1" applyFill="1" applyBorder="1" applyAlignment="1">
      <alignment horizontal="center" vertical="center"/>
    </xf>
    <xf numFmtId="0" fontId="13" fillId="6" borderId="11" xfId="2" applyFont="1" applyFill="1" applyBorder="1" applyAlignment="1">
      <alignment horizontal="center" vertical="center"/>
    </xf>
    <xf numFmtId="0" fontId="17" fillId="6" borderId="10" xfId="2" applyFont="1" applyFill="1" applyBorder="1" applyAlignment="1">
      <alignment horizontal="left" indent="3"/>
    </xf>
    <xf numFmtId="0" fontId="17" fillId="6" borderId="10" xfId="2" applyFont="1" applyFill="1" applyBorder="1" applyAlignment="1">
      <alignment horizontal="left" indent="4"/>
    </xf>
    <xf numFmtId="0" fontId="0" fillId="6" borderId="0" xfId="0" applyFill="1"/>
    <xf numFmtId="0" fontId="0" fillId="6" borderId="10" xfId="2" applyFont="1" applyFill="1" applyBorder="1" applyAlignment="1">
      <alignment horizontal="left"/>
    </xf>
    <xf numFmtId="0" fontId="0" fillId="6" borderId="10" xfId="2" applyFont="1" applyFill="1" applyBorder="1" applyAlignment="1">
      <alignment horizontal="left" indent="2"/>
    </xf>
    <xf numFmtId="0" fontId="1" fillId="6" borderId="10" xfId="2" applyFont="1" applyFill="1" applyBorder="1"/>
    <xf numFmtId="0" fontId="1" fillId="6" borderId="7" xfId="0" applyFont="1" applyFill="1" applyBorder="1"/>
    <xf numFmtId="0" fontId="18" fillId="6" borderId="11" xfId="2" applyFont="1" applyFill="1" applyBorder="1" applyAlignment="1">
      <alignment horizontal="center" vertical="center"/>
    </xf>
    <xf numFmtId="0" fontId="0" fillId="6" borderId="7" xfId="0" applyFont="1" applyFill="1" applyBorder="1"/>
    <xf numFmtId="0" fontId="0" fillId="6" borderId="8" xfId="0" applyFont="1" applyFill="1" applyBorder="1"/>
    <xf numFmtId="0" fontId="0" fillId="11" borderId="6" xfId="2" applyFont="1" applyFill="1" applyBorder="1"/>
    <xf numFmtId="0" fontId="0" fillId="11" borderId="3" xfId="2" applyFont="1" applyFill="1" applyBorder="1" applyAlignment="1">
      <alignment horizontal="left"/>
    </xf>
    <xf numFmtId="0" fontId="0" fillId="11" borderId="6" xfId="0" applyFill="1" applyBorder="1"/>
    <xf numFmtId="0" fontId="15" fillId="11" borderId="11" xfId="2" applyFont="1" applyFill="1" applyBorder="1" applyAlignment="1">
      <alignment horizontal="center" vertical="center"/>
    </xf>
    <xf numFmtId="0" fontId="13" fillId="11" borderId="11" xfId="2" applyFont="1" applyFill="1" applyBorder="1" applyAlignment="1">
      <alignment horizontal="center" vertical="center"/>
    </xf>
    <xf numFmtId="0" fontId="0" fillId="11" borderId="7" xfId="2" applyFont="1" applyFill="1" applyBorder="1"/>
    <xf numFmtId="0" fontId="1" fillId="11" borderId="0" xfId="2" applyFont="1" applyFill="1" applyBorder="1"/>
    <xf numFmtId="0" fontId="1" fillId="11" borderId="7" xfId="0" applyFont="1" applyFill="1" applyBorder="1"/>
    <xf numFmtId="0" fontId="1" fillId="11" borderId="10" xfId="2" applyFont="1" applyFill="1" applyBorder="1" applyAlignment="1">
      <alignment horizontal="left" indent="2"/>
    </xf>
    <xf numFmtId="0" fontId="0" fillId="11" borderId="7" xfId="0" applyFont="1" applyFill="1" applyBorder="1"/>
    <xf numFmtId="0" fontId="18" fillId="11" borderId="11" xfId="2" applyFont="1" applyFill="1" applyBorder="1" applyAlignment="1">
      <alignment horizontal="center" vertical="center"/>
    </xf>
    <xf numFmtId="0" fontId="0" fillId="11" borderId="10" xfId="2" applyFont="1" applyFill="1" applyBorder="1" applyAlignment="1">
      <alignment horizontal="left" indent="2"/>
    </xf>
    <xf numFmtId="0" fontId="0" fillId="11" borderId="7" xfId="0" applyFill="1" applyBorder="1"/>
    <xf numFmtId="0" fontId="0" fillId="11" borderId="8" xfId="2" applyFont="1" applyFill="1" applyBorder="1"/>
    <xf numFmtId="0" fontId="0" fillId="11" borderId="13" xfId="2" applyFont="1" applyFill="1" applyBorder="1" applyAlignment="1">
      <alignment horizontal="left" indent="2"/>
    </xf>
    <xf numFmtId="0" fontId="0" fillId="11" borderId="8" xfId="0" applyFill="1" applyBorder="1"/>
    <xf numFmtId="0" fontId="0" fillId="3" borderId="13" xfId="0" applyFill="1" applyBorder="1"/>
    <xf numFmtId="0" fontId="15" fillId="11" borderId="12" xfId="2" applyFont="1" applyFill="1" applyBorder="1" applyAlignment="1">
      <alignment horizontal="center" vertical="center"/>
    </xf>
    <xf numFmtId="0" fontId="18" fillId="11" borderId="12" xfId="2" applyFont="1" applyFill="1" applyBorder="1" applyAlignment="1">
      <alignment horizontal="center" vertical="center"/>
    </xf>
    <xf numFmtId="0" fontId="0" fillId="9" borderId="4" xfId="0" applyFill="1" applyBorder="1"/>
    <xf numFmtId="0" fontId="0" fillId="9" borderId="14" xfId="0" applyFill="1" applyBorder="1"/>
    <xf numFmtId="0" fontId="0" fillId="3" borderId="15" xfId="0" applyFill="1" applyBorder="1"/>
    <xf numFmtId="0" fontId="15" fillId="9" borderId="12" xfId="2" applyFont="1" applyFill="1" applyBorder="1" applyAlignment="1">
      <alignment horizontal="center" vertical="center"/>
    </xf>
    <xf numFmtId="0" fontId="18" fillId="9" borderId="1" xfId="2" applyFont="1" applyFill="1" applyBorder="1" applyAlignment="1">
      <alignment horizontal="center" vertical="center"/>
    </xf>
    <xf numFmtId="0" fontId="0" fillId="0" borderId="0" xfId="0" applyAlignment="1">
      <alignment horizontal="center"/>
    </xf>
    <xf numFmtId="0" fontId="17" fillId="0" borderId="0" xfId="0" applyFont="1"/>
    <xf numFmtId="0" fontId="0" fillId="12" borderId="3" xfId="8" applyFont="1" applyBorder="1" applyAlignment="1"/>
    <xf numFmtId="0" fontId="0" fillId="12" borderId="2" xfId="8" applyFont="1" applyBorder="1" applyAlignment="1"/>
    <xf numFmtId="0" fontId="19" fillId="12" borderId="9" xfId="8" applyFont="1" applyBorder="1" applyAlignment="1">
      <alignment horizontal="right"/>
    </xf>
    <xf numFmtId="0" fontId="1" fillId="13" borderId="0" xfId="9">
      <alignment horizontal="center" vertical="center"/>
    </xf>
    <xf numFmtId="0" fontId="7" fillId="12" borderId="13" xfId="8" applyFont="1" applyBorder="1" applyAlignment="1"/>
    <xf numFmtId="0" fontId="4" fillId="12" borderId="15" xfId="8" applyFont="1" applyBorder="1" applyAlignment="1"/>
    <xf numFmtId="0" fontId="0" fillId="12" borderId="15" xfId="8" applyFont="1" applyBorder="1" applyAlignment="1"/>
    <xf numFmtId="14" fontId="6" fillId="12" borderId="12" xfId="8" applyNumberFormat="1" applyFont="1" applyBorder="1" applyAlignment="1">
      <alignment horizontal="right"/>
    </xf>
    <xf numFmtId="0" fontId="0" fillId="12" borderId="14" xfId="8" applyFont="1" applyBorder="1" applyAlignment="1"/>
    <xf numFmtId="0" fontId="0" fillId="12" borderId="5" xfId="8" applyFont="1" applyBorder="1" applyAlignment="1"/>
    <xf numFmtId="0" fontId="0" fillId="12" borderId="8" xfId="8" applyFont="1" applyBorder="1" applyAlignment="1"/>
    <xf numFmtId="169" fontId="20" fillId="3" borderId="3" xfId="10">
      <alignment horizontal="center" vertical="center"/>
    </xf>
    <xf numFmtId="170" fontId="21" fillId="3" borderId="2" xfId="11" applyBorder="1">
      <alignment horizontal="center" vertical="center"/>
    </xf>
    <xf numFmtId="170" fontId="21" fillId="3" borderId="9" xfId="11" applyBorder="1">
      <alignment horizontal="center" vertical="center"/>
    </xf>
    <xf numFmtId="0" fontId="1" fillId="12" borderId="6" xfId="8" applyBorder="1" applyAlignment="1"/>
    <xf numFmtId="170" fontId="22" fillId="14" borderId="10" xfId="12" applyBorder="1" applyAlignment="1">
      <alignment horizontal="center" vertical="center"/>
    </xf>
    <xf numFmtId="0" fontId="1" fillId="12" borderId="7" xfId="8" applyBorder="1" applyAlignment="1"/>
    <xf numFmtId="0" fontId="7" fillId="15" borderId="8" xfId="13" applyNumberFormat="1" applyFont="1" applyBorder="1">
      <alignment vertical="center"/>
      <protection locked="0"/>
    </xf>
    <xf numFmtId="0" fontId="0" fillId="16" borderId="11" xfId="14" applyFont="1" applyBorder="1"/>
    <xf numFmtId="0" fontId="0" fillId="12" borderId="7" xfId="8" applyFont="1" applyBorder="1" applyAlignment="1"/>
    <xf numFmtId="14" fontId="7" fillId="17" borderId="1" xfId="15" applyFont="1" applyBorder="1">
      <alignment vertical="center"/>
      <protection locked="0"/>
    </xf>
    <xf numFmtId="0" fontId="7" fillId="4" borderId="1" xfId="16" applyFont="1" applyBorder="1">
      <alignment horizontal="center" vertical="center"/>
      <protection locked="0"/>
    </xf>
    <xf numFmtId="0" fontId="17" fillId="12" borderId="7" xfId="8" applyFont="1" applyBorder="1" applyAlignment="1"/>
    <xf numFmtId="3" fontId="7" fillId="4" borderId="1" xfId="4" applyNumberFormat="1" applyBorder="1" applyAlignment="1">
      <alignment horizontal="center" vertical="center"/>
      <protection locked="0"/>
    </xf>
    <xf numFmtId="3" fontId="7" fillId="4" borderId="6" xfId="4" applyNumberFormat="1" applyBorder="1" applyAlignment="1">
      <alignment horizontal="center" vertical="center"/>
      <protection locked="0"/>
    </xf>
    <xf numFmtId="0" fontId="1" fillId="12" borderId="8" xfId="8" applyBorder="1" applyAlignment="1"/>
    <xf numFmtId="170" fontId="22" fillId="14" borderId="13" xfId="12" applyBorder="1" applyAlignment="1">
      <alignment horizontal="center" vertical="center"/>
    </xf>
    <xf numFmtId="0" fontId="10" fillId="12" borderId="3" xfId="8" applyFont="1" applyBorder="1" applyAlignment="1">
      <alignment vertical="center" wrapText="1"/>
    </xf>
    <xf numFmtId="0" fontId="0" fillId="12" borderId="2" xfId="8" applyFont="1" applyBorder="1" applyAlignment="1">
      <alignment wrapText="1"/>
    </xf>
    <xf numFmtId="0" fontId="0" fillId="12" borderId="9" xfId="8" applyFont="1" applyBorder="1" applyAlignment="1">
      <alignment wrapText="1"/>
    </xf>
    <xf numFmtId="0" fontId="24" fillId="12" borderId="13" xfId="8" applyFont="1" applyBorder="1" applyAlignment="1"/>
    <xf numFmtId="169" fontId="20" fillId="3" borderId="3" xfId="10" applyBorder="1">
      <alignment horizontal="center" vertical="center"/>
    </xf>
    <xf numFmtId="0" fontId="0" fillId="12" borderId="11" xfId="8" applyFont="1" applyBorder="1" applyAlignment="1"/>
    <xf numFmtId="0" fontId="4" fillId="12" borderId="10" xfId="8" applyFont="1" applyBorder="1" applyAlignment="1"/>
    <xf numFmtId="167" fontId="7" fillId="6" borderId="6" xfId="6" applyNumberFormat="1" applyFont="1" applyBorder="1" applyProtection="1">
      <alignment vertical="center"/>
      <protection locked="0"/>
    </xf>
    <xf numFmtId="0" fontId="4" fillId="12" borderId="6" xfId="8" applyFont="1" applyBorder="1" applyAlignment="1"/>
    <xf numFmtId="0" fontId="0" fillId="12" borderId="10" xfId="8" applyFont="1" applyBorder="1" applyAlignment="1">
      <alignment horizontal="left" indent="1"/>
    </xf>
    <xf numFmtId="167" fontId="7" fillId="16" borderId="7" xfId="14" applyNumberFormat="1" applyFont="1" applyBorder="1" applyAlignment="1">
      <alignment vertical="center"/>
    </xf>
    <xf numFmtId="0" fontId="0" fillId="12" borderId="11" xfId="8" applyFont="1" applyBorder="1" applyAlignment="1">
      <alignment horizontal="left" indent="1"/>
    </xf>
    <xf numFmtId="0" fontId="0" fillId="12" borderId="10" xfId="8" applyFont="1" applyBorder="1" applyAlignment="1">
      <alignment horizontal="left" indent="2"/>
    </xf>
    <xf numFmtId="167" fontId="7" fillId="6" borderId="7" xfId="6" applyNumberFormat="1" applyFont="1" applyBorder="1" applyProtection="1">
      <alignment vertical="center"/>
      <protection locked="0"/>
    </xf>
    <xf numFmtId="0" fontId="0" fillId="12" borderId="11" xfId="8" applyFont="1" applyBorder="1" applyAlignment="1">
      <alignment horizontal="left" indent="2"/>
    </xf>
    <xf numFmtId="167" fontId="7" fillId="6" borderId="11" xfId="6" applyNumberFormat="1" applyFont="1" applyBorder="1">
      <alignment vertical="center"/>
      <protection locked="0"/>
    </xf>
    <xf numFmtId="0" fontId="0" fillId="12" borderId="7" xfId="8" applyFont="1" applyBorder="1" applyAlignment="1">
      <alignment horizontal="left" indent="2"/>
    </xf>
    <xf numFmtId="167" fontId="7" fillId="4" borderId="7" xfId="4" applyBorder="1">
      <alignment vertical="center"/>
      <protection locked="0"/>
    </xf>
    <xf numFmtId="0" fontId="0" fillId="12" borderId="13" xfId="8" applyFont="1" applyBorder="1" applyAlignment="1">
      <alignment horizontal="left" indent="2"/>
    </xf>
    <xf numFmtId="167" fontId="7" fillId="4" borderId="8" xfId="4" applyBorder="1">
      <alignment vertical="center"/>
      <protection locked="0"/>
    </xf>
    <xf numFmtId="0" fontId="0" fillId="12" borderId="12" xfId="8" applyFont="1" applyBorder="1" applyAlignment="1">
      <alignment horizontal="left" indent="2"/>
    </xf>
    <xf numFmtId="0" fontId="24" fillId="12" borderId="3" xfId="8" applyFont="1" applyBorder="1" applyAlignment="1"/>
    <xf numFmtId="0" fontId="24" fillId="12" borderId="5" xfId="8" applyFont="1" applyBorder="1" applyAlignment="1"/>
    <xf numFmtId="0" fontId="25" fillId="12" borderId="1" xfId="8" applyFont="1" applyBorder="1" applyAlignment="1">
      <alignment horizontal="center" vertical="center" wrapText="1"/>
    </xf>
    <xf numFmtId="167" fontId="7" fillId="4" borderId="1" xfId="4" applyBorder="1">
      <alignment vertical="center"/>
      <protection locked="0"/>
    </xf>
    <xf numFmtId="0" fontId="0" fillId="16" borderId="10" xfId="14" applyFont="1" applyBorder="1"/>
    <xf numFmtId="0" fontId="0" fillId="12" borderId="10" xfId="8" applyFont="1" applyBorder="1" applyAlignment="1"/>
    <xf numFmtId="0" fontId="0" fillId="12" borderId="13" xfId="8" applyFont="1" applyBorder="1" applyAlignment="1">
      <alignment horizontal="left" indent="1"/>
    </xf>
    <xf numFmtId="0" fontId="0" fillId="0" borderId="0" xfId="0" applyBorder="1"/>
    <xf numFmtId="167" fontId="7" fillId="4" borderId="6" xfId="4" applyBorder="1">
      <alignment vertical="center"/>
      <protection locked="0"/>
    </xf>
    <xf numFmtId="0" fontId="0" fillId="12" borderId="13" xfId="8" applyFont="1" applyBorder="1" applyAlignment="1"/>
    <xf numFmtId="0" fontId="0" fillId="16" borderId="12" xfId="14" applyFont="1" applyBorder="1"/>
    <xf numFmtId="0" fontId="7" fillId="6" borderId="7" xfId="6" applyNumberFormat="1" applyFont="1" applyBorder="1">
      <alignment vertical="center"/>
      <protection locked="0"/>
    </xf>
    <xf numFmtId="167" fontId="7" fillId="6" borderId="8" xfId="6" applyNumberFormat="1" applyFont="1" applyBorder="1">
      <alignment vertical="center"/>
      <protection locked="0"/>
    </xf>
    <xf numFmtId="0" fontId="10" fillId="12" borderId="3" xfId="8" applyFont="1" applyBorder="1" applyAlignment="1">
      <alignment horizontal="left"/>
    </xf>
    <xf numFmtId="0" fontId="26" fillId="12" borderId="14" xfId="8" applyFont="1" applyBorder="1" applyAlignment="1"/>
    <xf numFmtId="0" fontId="27" fillId="12" borderId="4" xfId="8" applyFont="1" applyBorder="1" applyAlignment="1">
      <alignment horizontal="centerContinuous" wrapText="1"/>
    </xf>
    <xf numFmtId="0" fontId="27" fillId="12" borderId="14" xfId="8" applyFont="1" applyBorder="1" applyAlignment="1">
      <alignment horizontal="centerContinuous" wrapText="1"/>
    </xf>
    <xf numFmtId="0" fontId="27" fillId="12" borderId="5" xfId="8" applyFont="1" applyBorder="1" applyAlignment="1">
      <alignment horizontal="centerContinuous" wrapText="1"/>
    </xf>
    <xf numFmtId="0" fontId="28" fillId="12" borderId="1" xfId="8" applyFont="1" applyBorder="1" applyAlignment="1">
      <alignment horizontal="centerContinuous" wrapText="1"/>
    </xf>
    <xf numFmtId="0" fontId="23" fillId="12" borderId="8" xfId="8" applyFont="1" applyBorder="1" applyAlignment="1"/>
    <xf numFmtId="0" fontId="21" fillId="12" borderId="1" xfId="8" applyFont="1" applyBorder="1" applyAlignment="1">
      <alignment horizontal="center" vertical="center"/>
    </xf>
    <xf numFmtId="170" fontId="22" fillId="14" borderId="8" xfId="12" applyBorder="1">
      <alignment horizontal="center" vertical="center"/>
    </xf>
    <xf numFmtId="0" fontId="0" fillId="16" borderId="4" xfId="14" applyFont="1" applyBorder="1"/>
    <xf numFmtId="0" fontId="0" fillId="16" borderId="14" xfId="14" applyFont="1" applyBorder="1"/>
    <xf numFmtId="166" fontId="11" fillId="6" borderId="1" xfId="6" applyNumberFormat="1" applyFont="1" applyBorder="1">
      <alignment vertical="center"/>
      <protection locked="0"/>
    </xf>
    <xf numFmtId="9" fontId="6" fillId="18" borderId="1" xfId="17" applyNumberFormat="1" applyBorder="1">
      <alignment horizontal="center" vertical="center"/>
    </xf>
    <xf numFmtId="170" fontId="21" fillId="3" borderId="14" xfId="11" applyBorder="1">
      <alignment horizontal="center" vertical="center"/>
    </xf>
    <xf numFmtId="0" fontId="29" fillId="12" borderId="6" xfId="8" applyFont="1" applyBorder="1" applyAlignment="1">
      <alignment horizontal="left"/>
    </xf>
    <xf numFmtId="170" fontId="22" fillId="14" borderId="7" xfId="12" applyBorder="1">
      <alignment horizontal="center" vertical="center"/>
    </xf>
    <xf numFmtId="0" fontId="30" fillId="12" borderId="16" xfId="8" applyFont="1" applyBorder="1" applyAlignment="1">
      <alignment horizontal="right"/>
    </xf>
    <xf numFmtId="168" fontId="30" fillId="3" borderId="17" xfId="0" applyNumberFormat="1" applyFont="1" applyFill="1" applyBorder="1" applyAlignment="1" applyProtection="1">
      <alignment horizontal="center"/>
    </xf>
    <xf numFmtId="167" fontId="11" fillId="7" borderId="1" xfId="7" applyNumberFormat="1">
      <alignment horizontal="center" vertical="center"/>
      <protection locked="0"/>
    </xf>
    <xf numFmtId="0" fontId="25" fillId="12" borderId="18" xfId="8" applyFont="1" applyBorder="1" applyAlignment="1">
      <alignment horizontal="left" indent="1"/>
    </xf>
    <xf numFmtId="168" fontId="31" fillId="16" borderId="3" xfId="14" applyNumberFormat="1" applyFont="1" applyBorder="1" applyAlignment="1"/>
    <xf numFmtId="168" fontId="30" fillId="14" borderId="19" xfId="0" applyNumberFormat="1" applyFont="1" applyFill="1" applyBorder="1" applyAlignment="1" applyProtection="1">
      <alignment horizontal="center"/>
    </xf>
    <xf numFmtId="167" fontId="25" fillId="6" borderId="20" xfId="6" applyNumberFormat="1" applyFont="1" applyBorder="1" applyAlignment="1" applyProtection="1">
      <alignment vertical="center"/>
      <protection locked="0"/>
    </xf>
    <xf numFmtId="0" fontId="28" fillId="12" borderId="21" xfId="8" applyFont="1" applyBorder="1" applyAlignment="1">
      <alignment horizontal="left" indent="2"/>
    </xf>
    <xf numFmtId="167" fontId="23" fillId="5" borderId="22" xfId="5" applyFont="1" applyBorder="1" applyAlignment="1">
      <alignment vertical="center"/>
      <protection locked="0"/>
    </xf>
    <xf numFmtId="168" fontId="31" fillId="16" borderId="23" xfId="14" applyNumberFormat="1" applyFont="1" applyBorder="1" applyAlignment="1"/>
    <xf numFmtId="168" fontId="31" fillId="16" borderId="24" xfId="14" applyNumberFormat="1" applyFont="1" applyBorder="1" applyAlignment="1"/>
    <xf numFmtId="0" fontId="32" fillId="12" borderId="21" xfId="8" applyFont="1" applyBorder="1" applyAlignment="1">
      <alignment horizontal="left" indent="2"/>
    </xf>
    <xf numFmtId="168" fontId="31" fillId="16" borderId="25" xfId="14" applyNumberFormat="1" applyFont="1" applyBorder="1" applyAlignment="1"/>
    <xf numFmtId="168" fontId="31" fillId="16" borderId="23" xfId="14" applyNumberFormat="1" applyFont="1" applyBorder="1" applyAlignment="1">
      <alignment horizontal="right"/>
    </xf>
    <xf numFmtId="167" fontId="23" fillId="6" borderId="24" xfId="6" applyNumberFormat="1" applyFont="1" applyBorder="1" applyAlignment="1" applyProtection="1">
      <alignment vertical="center"/>
      <protection locked="0"/>
    </xf>
    <xf numFmtId="0" fontId="28" fillId="12" borderId="21" xfId="8" applyFont="1" applyBorder="1" applyAlignment="1">
      <alignment horizontal="left" indent="3"/>
    </xf>
    <xf numFmtId="167" fontId="23" fillId="5" borderId="25" xfId="5" applyFont="1" applyBorder="1" applyAlignment="1">
      <alignment vertical="center"/>
      <protection locked="0"/>
    </xf>
    <xf numFmtId="167" fontId="23" fillId="6" borderId="26" xfId="6" applyNumberFormat="1" applyFont="1" applyBorder="1" applyProtection="1">
      <alignment vertical="center"/>
      <protection locked="0"/>
    </xf>
    <xf numFmtId="0" fontId="28" fillId="12" borderId="27" xfId="8" applyFont="1" applyBorder="1" applyAlignment="1">
      <alignment horizontal="left" indent="4"/>
    </xf>
    <xf numFmtId="167" fontId="23" fillId="6" borderId="21" xfId="6" applyNumberFormat="1" applyFont="1" applyBorder="1" applyProtection="1">
      <alignment vertical="center"/>
      <protection locked="0"/>
    </xf>
    <xf numFmtId="167" fontId="0" fillId="0" borderId="0" xfId="0" applyNumberFormat="1"/>
    <xf numFmtId="167" fontId="23" fillId="6" borderId="27" xfId="6" applyNumberFormat="1" applyFont="1" applyBorder="1" applyProtection="1">
      <alignment vertical="center"/>
      <protection locked="0"/>
    </xf>
    <xf numFmtId="167" fontId="23" fillId="6" borderId="28" xfId="6" applyNumberFormat="1" applyFont="1" applyBorder="1" applyProtection="1">
      <alignment vertical="center"/>
      <protection locked="0"/>
    </xf>
    <xf numFmtId="167" fontId="23" fillId="6" borderId="25" xfId="6" applyNumberFormat="1" applyFont="1" applyBorder="1" applyProtection="1">
      <alignment vertical="center"/>
      <protection locked="0"/>
    </xf>
    <xf numFmtId="168" fontId="30" fillId="3" borderId="29" xfId="0" applyNumberFormat="1" applyFont="1" applyFill="1" applyBorder="1" applyAlignment="1" applyProtection="1">
      <alignment horizontal="center"/>
    </xf>
    <xf numFmtId="167" fontId="25" fillId="6" borderId="24" xfId="6" applyNumberFormat="1" applyFont="1" applyBorder="1" applyAlignment="1" applyProtection="1">
      <alignment vertical="center"/>
      <protection locked="0"/>
    </xf>
    <xf numFmtId="167" fontId="23" fillId="5" borderId="30" xfId="5" applyFont="1" applyBorder="1" applyAlignment="1">
      <alignment vertical="center"/>
      <protection locked="0"/>
    </xf>
    <xf numFmtId="167" fontId="23" fillId="6" borderId="30" xfId="6" applyNumberFormat="1" applyFont="1" applyBorder="1" applyProtection="1">
      <alignment vertical="center"/>
      <protection locked="0"/>
    </xf>
    <xf numFmtId="0" fontId="28" fillId="12" borderId="26" xfId="8" applyFont="1" applyBorder="1" applyAlignment="1">
      <alignment horizontal="left" indent="4"/>
    </xf>
    <xf numFmtId="167" fontId="23" fillId="5" borderId="30" xfId="5" applyFont="1" applyBorder="1">
      <alignment vertical="center"/>
      <protection locked="0"/>
    </xf>
    <xf numFmtId="168" fontId="31" fillId="16" borderId="31" xfId="14" applyNumberFormat="1" applyFont="1" applyBorder="1" applyAlignment="1"/>
    <xf numFmtId="168" fontId="31" fillId="16" borderId="32" xfId="14" applyNumberFormat="1" applyFont="1" applyBorder="1" applyAlignment="1"/>
    <xf numFmtId="0" fontId="28" fillId="12" borderId="33" xfId="8" applyFont="1" applyBorder="1" applyAlignment="1">
      <alignment horizontal="left" indent="3"/>
    </xf>
    <xf numFmtId="167" fontId="23" fillId="5" borderId="34" xfId="5" applyFont="1" applyBorder="1" applyAlignment="1">
      <alignment vertical="center"/>
      <protection locked="0"/>
    </xf>
    <xf numFmtId="168" fontId="31" fillId="16" borderId="35" xfId="14" applyNumberFormat="1" applyFont="1" applyBorder="1" applyAlignment="1"/>
    <xf numFmtId="168" fontId="31" fillId="16" borderId="36" xfId="14" applyNumberFormat="1" applyFont="1" applyBorder="1" applyAlignment="1"/>
    <xf numFmtId="9" fontId="6" fillId="18" borderId="37" xfId="17" applyNumberFormat="1" applyBorder="1">
      <alignment horizontal="center" vertical="center"/>
    </xf>
    <xf numFmtId="0" fontId="0" fillId="12" borderId="9" xfId="8" applyFont="1" applyBorder="1" applyAlignment="1"/>
    <xf numFmtId="0" fontId="1" fillId="12" borderId="1" xfId="8" applyBorder="1" applyAlignment="1">
      <alignment horizontal="center"/>
    </xf>
    <xf numFmtId="0" fontId="1" fillId="12" borderId="38" xfId="8" applyBorder="1" applyAlignment="1">
      <alignment horizontal="centerContinuous"/>
    </xf>
    <xf numFmtId="0" fontId="1" fillId="12" borderId="39" xfId="8" applyBorder="1" applyAlignment="1">
      <alignment horizontal="centerContinuous"/>
    </xf>
    <xf numFmtId="0" fontId="4" fillId="12" borderId="10" xfId="8" applyFont="1" applyBorder="1" applyAlignment="1">
      <alignment wrapText="1"/>
    </xf>
    <xf numFmtId="0" fontId="1" fillId="12" borderId="6" xfId="8" applyBorder="1" applyAlignment="1">
      <alignment horizontal="center"/>
    </xf>
    <xf numFmtId="0" fontId="1" fillId="12" borderId="40" xfId="8" applyBorder="1" applyAlignment="1">
      <alignment horizontal="center"/>
    </xf>
    <xf numFmtId="170" fontId="21" fillId="3" borderId="5" xfId="11" applyBorder="1">
      <alignment horizontal="center" vertical="center"/>
    </xf>
    <xf numFmtId="0" fontId="1" fillId="16" borderId="41" xfId="14" applyFont="1" applyBorder="1" applyAlignment="1">
      <alignment horizontal="center"/>
    </xf>
    <xf numFmtId="0" fontId="1" fillId="16" borderId="40" xfId="14" applyFont="1" applyBorder="1" applyAlignment="1">
      <alignment horizontal="center"/>
    </xf>
    <xf numFmtId="0" fontId="4" fillId="12" borderId="4" xfId="8" applyFont="1" applyBorder="1" applyAlignment="1">
      <alignment wrapText="1"/>
    </xf>
    <xf numFmtId="0" fontId="1" fillId="12" borderId="14" xfId="8" applyBorder="1" applyAlignment="1">
      <alignment horizontal="left"/>
    </xf>
    <xf numFmtId="167" fontId="11" fillId="7" borderId="1" xfId="7" applyNumberFormat="1" applyBorder="1">
      <alignment horizontal="center" vertical="center"/>
      <protection locked="0"/>
    </xf>
    <xf numFmtId="0" fontId="1" fillId="16" borderId="42" xfId="14" applyFont="1" applyBorder="1" applyAlignment="1">
      <alignment horizontal="center"/>
    </xf>
    <xf numFmtId="0" fontId="1" fillId="16" borderId="43" xfId="14" applyFont="1" applyBorder="1" applyAlignment="1">
      <alignment horizontal="center"/>
    </xf>
    <xf numFmtId="0" fontId="0" fillId="12" borderId="6" xfId="8" applyFont="1" applyBorder="1" applyAlignment="1">
      <alignment horizontal="left"/>
    </xf>
    <xf numFmtId="170" fontId="22" fillId="14" borderId="7" xfId="12" applyBorder="1" applyAlignment="1">
      <alignment horizontal="center" vertical="center"/>
    </xf>
    <xf numFmtId="0" fontId="0" fillId="16" borderId="3" xfId="14" applyFont="1" applyBorder="1"/>
    <xf numFmtId="0" fontId="0" fillId="16" borderId="2" xfId="14" applyFont="1" applyBorder="1"/>
    <xf numFmtId="167" fontId="7" fillId="6" borderId="1" xfId="6" applyNumberFormat="1" applyFont="1" applyBorder="1" applyProtection="1">
      <alignment vertical="center"/>
      <protection locked="0"/>
    </xf>
    <xf numFmtId="0" fontId="0" fillId="12" borderId="38" xfId="8" applyFont="1" applyBorder="1" applyAlignment="1">
      <alignment horizontal="center"/>
    </xf>
    <xf numFmtId="10" fontId="6" fillId="18" borderId="37" xfId="17" applyBorder="1">
      <alignment horizontal="center" vertical="center"/>
    </xf>
    <xf numFmtId="0" fontId="0" fillId="12" borderId="18" xfId="8" applyFont="1" applyBorder="1" applyAlignment="1">
      <alignment horizontal="left"/>
    </xf>
    <xf numFmtId="0" fontId="0" fillId="16" borderId="0" xfId="14" applyFont="1" applyBorder="1"/>
    <xf numFmtId="0" fontId="0" fillId="16" borderId="41" xfId="14" applyFont="1" applyBorder="1"/>
    <xf numFmtId="0" fontId="0" fillId="16" borderId="44" xfId="14" applyFont="1" applyBorder="1"/>
    <xf numFmtId="0" fontId="1" fillId="12" borderId="21" xfId="8" applyBorder="1" applyAlignment="1">
      <alignment horizontal="left" indent="1"/>
    </xf>
    <xf numFmtId="170" fontId="22" fillId="14" borderId="10" xfId="12" applyBorder="1">
      <alignment horizontal="center" vertical="center"/>
    </xf>
    <xf numFmtId="167" fontId="7" fillId="6" borderId="27" xfId="6" applyNumberFormat="1" applyFont="1" applyBorder="1">
      <alignment vertical="center"/>
      <protection locked="0"/>
    </xf>
    <xf numFmtId="167" fontId="7" fillId="6" borderId="27" xfId="6" applyNumberFormat="1" applyFont="1" applyBorder="1" applyProtection="1">
      <alignment vertical="center"/>
      <protection locked="0"/>
    </xf>
    <xf numFmtId="0" fontId="0" fillId="19" borderId="45" xfId="2" applyFont="1" applyFill="1" applyBorder="1" applyAlignment="1">
      <alignment horizontal="center" wrapText="1"/>
    </xf>
    <xf numFmtId="10" fontId="6" fillId="18" borderId="46" xfId="17" applyBorder="1">
      <alignment horizontal="center" vertical="center"/>
    </xf>
    <xf numFmtId="167" fontId="7" fillId="6" borderId="21" xfId="6" applyNumberFormat="1" applyFont="1" applyBorder="1">
      <alignment vertical="center"/>
      <protection locked="0"/>
    </xf>
    <xf numFmtId="167" fontId="7" fillId="6" borderId="21" xfId="6" applyNumberFormat="1" applyFont="1" applyBorder="1" applyProtection="1">
      <alignment vertical="center"/>
      <protection locked="0"/>
    </xf>
    <xf numFmtId="0" fontId="0" fillId="19" borderId="47" xfId="2" applyFont="1" applyFill="1" applyBorder="1" applyAlignment="1">
      <alignment horizontal="center" vertical="top" wrapText="1"/>
    </xf>
    <xf numFmtId="10" fontId="6" fillId="18" borderId="48" xfId="17" applyBorder="1">
      <alignment horizontal="center" vertical="center"/>
    </xf>
    <xf numFmtId="0" fontId="1" fillId="12" borderId="33" xfId="8" applyBorder="1" applyAlignment="1">
      <alignment horizontal="left" indent="1"/>
    </xf>
    <xf numFmtId="167" fontId="7" fillId="6" borderId="33" xfId="6" applyNumberFormat="1" applyFont="1" applyBorder="1">
      <alignment vertical="center"/>
      <protection locked="0"/>
    </xf>
    <xf numFmtId="167" fontId="7" fillId="6" borderId="33" xfId="6" applyNumberFormat="1" applyFont="1" applyBorder="1" applyProtection="1">
      <alignment vertical="center"/>
      <protection locked="0"/>
    </xf>
    <xf numFmtId="10" fontId="6" fillId="18" borderId="49" xfId="17" applyBorder="1">
      <alignment horizontal="center" vertical="center"/>
    </xf>
    <xf numFmtId="0" fontId="0" fillId="16" borderId="50" xfId="14" applyFont="1" applyBorder="1"/>
    <xf numFmtId="0" fontId="0" fillId="19" borderId="45" xfId="2" applyFont="1" applyFill="1" applyBorder="1" applyAlignment="1">
      <alignment horizontal="center" vertical="top" wrapText="1"/>
    </xf>
    <xf numFmtId="0" fontId="0" fillId="16" borderId="51" xfId="14" applyFont="1" applyBorder="1"/>
    <xf numFmtId="0" fontId="0" fillId="12" borderId="21" xfId="8" applyFont="1" applyBorder="1" applyAlignment="1">
      <alignment horizontal="left" indent="1"/>
    </xf>
    <xf numFmtId="0" fontId="0" fillId="12" borderId="21" xfId="8" quotePrefix="1" applyFont="1" applyBorder="1" applyAlignment="1">
      <alignment horizontal="left" indent="2"/>
    </xf>
    <xf numFmtId="0" fontId="0" fillId="19" borderId="52" xfId="2" applyFont="1" applyFill="1" applyBorder="1" applyAlignment="1">
      <alignment horizontal="center"/>
    </xf>
    <xf numFmtId="0" fontId="0" fillId="19" borderId="51" xfId="2" applyFont="1" applyFill="1" applyBorder="1" applyAlignment="1">
      <alignment horizontal="center"/>
    </xf>
    <xf numFmtId="0" fontId="0" fillId="12" borderId="33" xfId="8" applyFont="1" applyBorder="1" applyAlignment="1">
      <alignment horizontal="left" indent="1"/>
    </xf>
    <xf numFmtId="0" fontId="0" fillId="19" borderId="42" xfId="2" applyFont="1" applyFill="1" applyBorder="1" applyAlignment="1">
      <alignment horizontal="center" vertical="top"/>
    </xf>
    <xf numFmtId="10" fontId="6" fillId="18" borderId="53" xfId="17" applyBorder="1">
      <alignment horizontal="center" vertical="center"/>
    </xf>
    <xf numFmtId="167" fontId="7" fillId="5" borderId="10" xfId="5" applyFont="1" applyBorder="1">
      <alignment vertical="center"/>
      <protection locked="0"/>
    </xf>
    <xf numFmtId="167" fontId="7" fillId="6" borderId="0" xfId="6" applyNumberFormat="1" applyFont="1" applyBorder="1" applyProtection="1">
      <alignment vertical="center"/>
      <protection locked="0"/>
    </xf>
    <xf numFmtId="9" fontId="6" fillId="3" borderId="40" xfId="3" applyNumberFormat="1" applyBorder="1" applyAlignment="1">
      <alignment horizontal="center" vertical="center"/>
    </xf>
    <xf numFmtId="9" fontId="6" fillId="3" borderId="43" xfId="3" applyNumberFormat="1" applyBorder="1" applyAlignment="1">
      <alignment horizontal="center" vertical="center"/>
    </xf>
    <xf numFmtId="170" fontId="22" fillId="14" borderId="13" xfId="12" applyBorder="1">
      <alignment horizontal="center" vertical="center"/>
    </xf>
    <xf numFmtId="0" fontId="0" fillId="16" borderId="13" xfId="14" applyFont="1" applyBorder="1"/>
    <xf numFmtId="167" fontId="7" fillId="5" borderId="15" xfId="5" applyFont="1" applyBorder="1">
      <alignment vertical="center"/>
      <protection locked="0"/>
    </xf>
    <xf numFmtId="0" fontId="10" fillId="12" borderId="3" xfId="8" applyFont="1" applyBorder="1" applyAlignment="1">
      <alignment horizontal="left" vertical="center"/>
    </xf>
    <xf numFmtId="0" fontId="34" fillId="12" borderId="1" xfId="8" applyFont="1" applyBorder="1" applyAlignment="1">
      <alignment horizontal="center" vertical="center" wrapText="1"/>
    </xf>
    <xf numFmtId="0" fontId="35" fillId="12" borderId="1" xfId="8" applyFont="1" applyBorder="1" applyAlignment="1">
      <alignment horizontal="center" vertical="center" wrapText="1"/>
    </xf>
    <xf numFmtId="0" fontId="7" fillId="12" borderId="6" xfId="8" applyFont="1" applyBorder="1" applyAlignment="1">
      <alignment horizontal="left" indent="2"/>
    </xf>
    <xf numFmtId="167" fontId="7" fillId="5" borderId="6" xfId="5" applyBorder="1">
      <alignment vertical="center"/>
      <protection locked="0"/>
    </xf>
    <xf numFmtId="167" fontId="7" fillId="16" borderId="6" xfId="14" applyNumberFormat="1" applyFont="1" applyBorder="1" applyAlignment="1">
      <alignment vertical="center"/>
    </xf>
    <xf numFmtId="0" fontId="7" fillId="12" borderId="7" xfId="8" applyFont="1" applyBorder="1" applyAlignment="1">
      <alignment horizontal="left" indent="2"/>
    </xf>
    <xf numFmtId="167" fontId="7" fillId="5" borderId="7" xfId="5" applyBorder="1">
      <alignment vertical="center"/>
      <protection locked="0"/>
    </xf>
    <xf numFmtId="0" fontId="7" fillId="12" borderId="7" xfId="8" applyFont="1" applyBorder="1" applyAlignment="1">
      <alignment horizontal="left" indent="1"/>
    </xf>
    <xf numFmtId="0" fontId="7" fillId="12" borderId="8" xfId="8" applyFont="1" applyBorder="1" applyAlignment="1">
      <alignment horizontal="left" indent="1"/>
    </xf>
    <xf numFmtId="167" fontId="7" fillId="5" borderId="8" xfId="5" applyBorder="1">
      <alignment vertical="center"/>
      <protection locked="0"/>
    </xf>
    <xf numFmtId="167" fontId="7" fillId="16" borderId="8" xfId="14" applyNumberFormat="1" applyFont="1" applyBorder="1" applyAlignment="1">
      <alignment vertical="center"/>
    </xf>
    <xf numFmtId="167" fontId="0" fillId="0" borderId="0" xfId="0" applyNumberFormat="1" applyBorder="1"/>
    <xf numFmtId="0" fontId="1" fillId="12" borderId="5" xfId="8" applyBorder="1" applyAlignment="1">
      <alignment horizontal="center" vertical="center"/>
    </xf>
    <xf numFmtId="0" fontId="7" fillId="12" borderId="1" xfId="8" applyFont="1" applyBorder="1" applyAlignment="1">
      <alignment horizontal="center" vertical="center" wrapText="1"/>
    </xf>
    <xf numFmtId="170" fontId="21" fillId="3" borderId="0" xfId="11" applyBorder="1">
      <alignment horizontal="center" vertical="center"/>
    </xf>
    <xf numFmtId="0" fontId="11" fillId="12" borderId="10" xfId="8" applyFont="1" applyBorder="1" applyAlignment="1"/>
    <xf numFmtId="167" fontId="7" fillId="5" borderId="6" xfId="5" applyFont="1" applyBorder="1">
      <alignment vertical="center"/>
      <protection locked="0"/>
    </xf>
    <xf numFmtId="167" fontId="7" fillId="6" borderId="6" xfId="6" applyNumberFormat="1" applyFont="1" applyBorder="1">
      <alignment vertical="center"/>
      <protection locked="0"/>
    </xf>
    <xf numFmtId="0" fontId="11" fillId="12" borderId="10" xfId="8" applyFont="1" applyBorder="1" applyAlignment="1">
      <alignment horizontal="left" indent="1"/>
    </xf>
    <xf numFmtId="167" fontId="7" fillId="5" borderId="7" xfId="5" applyFont="1" applyBorder="1">
      <alignment vertical="center"/>
      <protection locked="0"/>
    </xf>
    <xf numFmtId="167" fontId="7" fillId="6" borderId="7" xfId="6" applyNumberFormat="1" applyFont="1" applyBorder="1">
      <alignment vertical="center"/>
      <protection locked="0"/>
    </xf>
    <xf numFmtId="0" fontId="11" fillId="12" borderId="10" xfId="8" applyFont="1" applyBorder="1" applyAlignment="1">
      <alignment horizontal="left" indent="2"/>
    </xf>
    <xf numFmtId="0" fontId="7" fillId="12" borderId="10" xfId="8" applyFont="1" applyBorder="1" applyAlignment="1">
      <alignment horizontal="left" indent="3"/>
    </xf>
    <xf numFmtId="0" fontId="36" fillId="12" borderId="10" xfId="8" applyFont="1" applyBorder="1" applyAlignment="1">
      <alignment horizontal="left" indent="4"/>
    </xf>
    <xf numFmtId="0" fontId="0" fillId="16" borderId="7" xfId="14" applyFont="1" applyBorder="1"/>
    <xf numFmtId="0" fontId="23" fillId="12" borderId="10" xfId="8" applyFont="1" applyBorder="1" applyAlignment="1">
      <alignment horizontal="left" indent="3"/>
    </xf>
    <xf numFmtId="0" fontId="7" fillId="12" borderId="13" xfId="8" applyFont="1" applyBorder="1" applyAlignment="1">
      <alignment horizontal="left" indent="3"/>
    </xf>
    <xf numFmtId="167" fontId="7" fillId="5" borderId="8" xfId="5" applyFont="1" applyBorder="1">
      <alignment vertical="center"/>
      <protection locked="0"/>
    </xf>
    <xf numFmtId="0" fontId="0" fillId="16" borderId="8" xfId="14" applyFont="1" applyBorder="1"/>
    <xf numFmtId="0" fontId="4" fillId="12" borderId="38" xfId="8" applyFont="1" applyBorder="1" applyAlignment="1">
      <alignment horizontal="left"/>
    </xf>
    <xf numFmtId="0" fontId="1" fillId="12" borderId="54" xfId="8" applyBorder="1" applyAlignment="1">
      <alignment horizontal="left"/>
    </xf>
    <xf numFmtId="0" fontId="1" fillId="12" borderId="39" xfId="8" applyBorder="1" applyAlignment="1">
      <alignment horizontal="left"/>
    </xf>
    <xf numFmtId="0" fontId="37" fillId="12" borderId="3" xfId="8" applyFont="1" applyBorder="1" applyAlignment="1">
      <alignment horizontal="centerContinuous" vertical="center"/>
    </xf>
    <xf numFmtId="0" fontId="37" fillId="12" borderId="2" xfId="8" applyFont="1" applyBorder="1" applyAlignment="1">
      <alignment horizontal="centerContinuous"/>
    </xf>
    <xf numFmtId="0" fontId="37" fillId="12" borderId="9" xfId="8" applyFont="1" applyBorder="1" applyAlignment="1">
      <alignment horizontal="centerContinuous"/>
    </xf>
    <xf numFmtId="0" fontId="34" fillId="12" borderId="4" xfId="8" applyFont="1" applyBorder="1" applyAlignment="1">
      <alignment horizontal="centerContinuous" vertical="center"/>
    </xf>
    <xf numFmtId="0" fontId="38" fillId="12" borderId="9" xfId="8" applyFont="1" applyBorder="1" applyAlignment="1">
      <alignment horizontal="centerContinuous"/>
    </xf>
    <xf numFmtId="0" fontId="37" fillId="12" borderId="13" xfId="8" applyFont="1" applyBorder="1" applyAlignment="1">
      <alignment horizontal="center" vertical="top" wrapText="1"/>
    </xf>
    <xf numFmtId="0" fontId="37" fillId="12" borderId="1" xfId="8" applyFont="1" applyBorder="1" applyAlignment="1">
      <alignment horizontal="center" vertical="center" wrapText="1"/>
    </xf>
    <xf numFmtId="0" fontId="37" fillId="12" borderId="8" xfId="8" applyFont="1" applyBorder="1" applyAlignment="1">
      <alignment horizontal="center" vertical="top" wrapText="1"/>
    </xf>
    <xf numFmtId="0" fontId="4" fillId="12" borderId="6" xfId="8" applyFont="1" applyBorder="1" applyAlignment="1">
      <alignment horizontal="center" vertical="center"/>
    </xf>
    <xf numFmtId="0" fontId="4" fillId="12" borderId="1" xfId="8" applyFont="1" applyBorder="1" applyAlignment="1"/>
    <xf numFmtId="0" fontId="7" fillId="12" borderId="6" xfId="8" applyFont="1" applyBorder="1" applyAlignment="1">
      <alignment horizontal="left" indent="1"/>
    </xf>
    <xf numFmtId="0" fontId="7" fillId="16" borderId="7" xfId="14" applyFont="1" applyBorder="1" applyAlignment="1">
      <alignment horizontal="left" indent="1"/>
    </xf>
    <xf numFmtId="170" fontId="22" fillId="16" borderId="10" xfId="14" applyNumberFormat="1" applyFont="1" applyBorder="1" applyAlignment="1">
      <alignment horizontal="center" vertical="center"/>
    </xf>
    <xf numFmtId="167" fontId="7" fillId="16" borderId="7" xfId="14" applyNumberFormat="1" applyFont="1" applyBorder="1" applyAlignment="1" applyProtection="1">
      <alignment vertical="center"/>
      <protection locked="0"/>
    </xf>
    <xf numFmtId="0" fontId="4" fillId="12" borderId="8" xfId="8" applyFont="1" applyBorder="1" applyAlignment="1"/>
    <xf numFmtId="167" fontId="7" fillId="16" borderId="1" xfId="14" applyNumberFormat="1" applyFont="1" applyBorder="1" applyAlignment="1">
      <alignment vertical="center"/>
    </xf>
    <xf numFmtId="167" fontId="7" fillId="6" borderId="8" xfId="6" applyNumberFormat="1" applyFont="1" applyBorder="1" applyProtection="1">
      <alignment vertical="center"/>
      <protection locked="0"/>
    </xf>
    <xf numFmtId="0" fontId="7" fillId="12" borderId="7" xfId="8" applyFont="1" applyBorder="1" applyAlignment="1">
      <alignment horizontal="left" indent="3"/>
    </xf>
    <xf numFmtId="0" fontId="7" fillId="15" borderId="7" xfId="13" applyNumberFormat="1" applyFont="1" applyBorder="1" applyAlignment="1">
      <alignment horizontal="left" vertical="center" indent="3"/>
      <protection locked="0"/>
    </xf>
    <xf numFmtId="0" fontId="39" fillId="12" borderId="1" xfId="8" applyFont="1" applyBorder="1" applyAlignment="1"/>
    <xf numFmtId="0" fontId="1" fillId="12" borderId="7" xfId="8" applyFont="1" applyBorder="1" applyAlignment="1"/>
    <xf numFmtId="0" fontId="36" fillId="12" borderId="7" xfId="8" applyFont="1" applyBorder="1" applyAlignment="1">
      <alignment horizontal="left" indent="1"/>
    </xf>
    <xf numFmtId="0" fontId="36" fillId="12" borderId="7" xfId="8" applyFont="1" applyBorder="1" applyAlignment="1">
      <alignment horizontal="left" indent="2"/>
    </xf>
    <xf numFmtId="0" fontId="36" fillId="12" borderId="10" xfId="8" applyFont="1" applyBorder="1" applyAlignment="1">
      <alignment horizontal="left" indent="2"/>
    </xf>
    <xf numFmtId="0" fontId="36" fillId="12" borderId="13" xfId="8" applyFont="1" applyBorder="1" applyAlignment="1">
      <alignment horizontal="left" indent="1"/>
    </xf>
    <xf numFmtId="170" fontId="22" fillId="14" borderId="8" xfId="12" applyBorder="1" applyAlignment="1">
      <alignment horizontal="center" vertical="center"/>
    </xf>
    <xf numFmtId="0" fontId="0" fillId="16" borderId="15" xfId="14" applyFont="1" applyBorder="1"/>
    <xf numFmtId="0" fontId="4" fillId="12" borderId="4" xfId="8" applyFont="1" applyBorder="1" applyAlignment="1">
      <alignment horizontal="left"/>
    </xf>
    <xf numFmtId="0" fontId="1" fillId="12" borderId="5" xfId="8" applyBorder="1" applyAlignment="1">
      <alignment horizontal="left"/>
    </xf>
    <xf numFmtId="0" fontId="1" fillId="12" borderId="3" xfId="8" applyBorder="1" applyAlignment="1">
      <alignment horizontal="center" vertical="center"/>
    </xf>
    <xf numFmtId="0" fontId="1" fillId="12" borderId="9" xfId="8" applyBorder="1" applyAlignment="1">
      <alignment horizontal="center" vertical="center"/>
    </xf>
    <xf numFmtId="0" fontId="7" fillId="12" borderId="4" xfId="8" applyFont="1" applyBorder="1" applyAlignment="1">
      <alignment horizontal="centerContinuous" vertical="center"/>
    </xf>
    <xf numFmtId="0" fontId="7" fillId="12" borderId="55" xfId="8" applyFont="1" applyBorder="1" applyAlignment="1">
      <alignment horizontal="centerContinuous" vertical="center"/>
    </xf>
    <xf numFmtId="0" fontId="23" fillId="12" borderId="2" xfId="8" applyFont="1" applyBorder="1" applyAlignment="1">
      <alignment vertical="center" wrapText="1"/>
    </xf>
    <xf numFmtId="0" fontId="7" fillId="12" borderId="5" xfId="8" applyFont="1" applyBorder="1" applyAlignment="1">
      <alignment horizontal="centerContinuous" vertical="center"/>
    </xf>
    <xf numFmtId="0" fontId="7" fillId="12" borderId="3" xfId="8" applyFont="1" applyBorder="1" applyAlignment="1">
      <alignment horizontal="centerContinuous" vertical="center"/>
    </xf>
    <xf numFmtId="0" fontId="7" fillId="12" borderId="2" xfId="8" applyFont="1" applyBorder="1" applyAlignment="1">
      <alignment horizontal="centerContinuous" vertical="center"/>
    </xf>
    <xf numFmtId="0" fontId="7" fillId="12" borderId="9" xfId="8" applyFont="1" applyBorder="1" applyAlignment="1">
      <alignment horizontal="centerContinuous" vertical="center"/>
    </xf>
    <xf numFmtId="0" fontId="1" fillId="12" borderId="10" xfId="8" applyBorder="1" applyAlignment="1">
      <alignment horizontal="center" vertical="top"/>
    </xf>
    <xf numFmtId="0" fontId="1" fillId="12" borderId="12" xfId="8" applyBorder="1" applyAlignment="1">
      <alignment horizontal="center" vertical="center"/>
    </xf>
    <xf numFmtId="0" fontId="37" fillId="12" borderId="15" xfId="8" applyFont="1" applyBorder="1" applyAlignment="1">
      <alignment horizontal="centerContinuous" vertical="center"/>
    </xf>
    <xf numFmtId="0" fontId="34" fillId="12" borderId="8" xfId="8" applyFont="1" applyBorder="1" applyAlignment="1">
      <alignment horizontal="center" vertical="center" wrapText="1"/>
    </xf>
    <xf numFmtId="0" fontId="34" fillId="12" borderId="4" xfId="8" applyFont="1" applyBorder="1" applyAlignment="1">
      <alignment horizontal="centerContinuous" vertical="center" wrapText="1"/>
    </xf>
    <xf numFmtId="0" fontId="7" fillId="12" borderId="4" xfId="8" applyFont="1" applyBorder="1" applyAlignment="1">
      <alignment horizontal="center" vertical="center" wrapText="1"/>
    </xf>
    <xf numFmtId="0" fontId="7" fillId="12" borderId="5" xfId="8" applyFont="1" applyBorder="1" applyAlignment="1">
      <alignment horizontal="center" vertical="center" wrapText="1"/>
    </xf>
    <xf numFmtId="0" fontId="7" fillId="12" borderId="12" xfId="8" applyFont="1" applyBorder="1" applyAlignment="1">
      <alignment horizontal="center" vertical="center" wrapText="1"/>
    </xf>
    <xf numFmtId="170" fontId="21" fillId="3" borderId="11" xfId="11" applyBorder="1">
      <alignment horizontal="center" vertical="center"/>
    </xf>
    <xf numFmtId="167" fontId="7" fillId="4" borderId="7" xfId="4" applyNumberFormat="1" applyFont="1" applyBorder="1">
      <alignment vertical="center"/>
      <protection locked="0"/>
    </xf>
    <xf numFmtId="167" fontId="7" fillId="4" borderId="8" xfId="4" applyNumberFormat="1" applyFont="1" applyBorder="1">
      <alignment vertical="center"/>
      <protection locked="0"/>
    </xf>
    <xf numFmtId="0" fontId="23" fillId="0" borderId="0" xfId="0" applyFont="1" applyFill="1" applyProtection="1"/>
    <xf numFmtId="0" fontId="40" fillId="12" borderId="5" xfId="8" quotePrefix="1" applyFont="1" applyBorder="1" applyAlignment="1">
      <alignment horizontal="center" vertical="center"/>
    </xf>
    <xf numFmtId="0" fontId="40" fillId="12" borderId="1" xfId="8" quotePrefix="1" applyFont="1" applyBorder="1" applyAlignment="1">
      <alignment horizontal="center" vertical="center"/>
    </xf>
    <xf numFmtId="0" fontId="10" fillId="12" borderId="6" xfId="8" applyFont="1" applyBorder="1" applyAlignment="1">
      <alignment horizontal="left"/>
    </xf>
    <xf numFmtId="167" fontId="23" fillId="6" borderId="6" xfId="6" applyNumberFormat="1" applyFont="1" applyBorder="1" applyAlignment="1" applyProtection="1">
      <alignment vertical="center"/>
      <protection locked="0"/>
    </xf>
    <xf numFmtId="0" fontId="23" fillId="12" borderId="27" xfId="8" applyFont="1" applyBorder="1" applyAlignment="1">
      <alignment horizontal="left" indent="1"/>
    </xf>
    <xf numFmtId="167" fontId="23" fillId="5" borderId="7" xfId="5" applyFont="1" applyBorder="1">
      <alignment vertical="center"/>
      <protection locked="0"/>
    </xf>
    <xf numFmtId="0" fontId="23" fillId="12" borderId="33" xfId="8" applyFont="1" applyBorder="1" applyAlignment="1">
      <alignment horizontal="left" indent="1"/>
    </xf>
    <xf numFmtId="167" fontId="23" fillId="5" borderId="8" xfId="5" applyFont="1" applyBorder="1">
      <alignment vertical="center"/>
      <protection locked="0"/>
    </xf>
    <xf numFmtId="0" fontId="10" fillId="12" borderId="8" xfId="8" applyFont="1" applyBorder="1" applyAlignment="1">
      <alignment horizontal="left"/>
    </xf>
    <xf numFmtId="167" fontId="23" fillId="6" borderId="1" xfId="6" applyNumberFormat="1" applyFont="1" applyBorder="1" applyAlignment="1" applyProtection="1">
      <alignment vertical="center"/>
      <protection locked="0"/>
    </xf>
    <xf numFmtId="0" fontId="10" fillId="12" borderId="10" xfId="8" applyFont="1" applyBorder="1" applyAlignment="1">
      <alignment vertical="center"/>
    </xf>
    <xf numFmtId="0" fontId="10" fillId="16" borderId="6" xfId="14" applyFont="1" applyBorder="1" applyAlignment="1">
      <alignment vertical="center"/>
    </xf>
    <xf numFmtId="0" fontId="23" fillId="12" borderId="30" xfId="8" quotePrefix="1" applyFont="1" applyBorder="1" applyAlignment="1">
      <alignment horizontal="left" indent="1"/>
    </xf>
    <xf numFmtId="0" fontId="23" fillId="12" borderId="25" xfId="8" quotePrefix="1" applyFont="1" applyBorder="1" applyAlignment="1">
      <alignment horizontal="left" indent="1"/>
    </xf>
    <xf numFmtId="167" fontId="23" fillId="5" borderId="27" xfId="5" applyFont="1" applyBorder="1">
      <alignment vertical="center"/>
      <protection locked="0"/>
    </xf>
    <xf numFmtId="0" fontId="23" fillId="12" borderId="30" xfId="8" quotePrefix="1" applyFont="1" applyBorder="1" applyAlignment="1">
      <alignment horizontal="left" indent="2"/>
    </xf>
    <xf numFmtId="167" fontId="7" fillId="5" borderId="21" xfId="5" applyBorder="1">
      <alignment vertical="center"/>
      <protection locked="0"/>
    </xf>
    <xf numFmtId="0" fontId="10" fillId="12" borderId="25" xfId="8" applyFont="1" applyBorder="1" applyAlignment="1"/>
    <xf numFmtId="164" fontId="23" fillId="16" borderId="21" xfId="14" applyNumberFormat="1" applyFont="1" applyBorder="1" applyAlignment="1"/>
    <xf numFmtId="0" fontId="23" fillId="12" borderId="25" xfId="8" applyFont="1" applyBorder="1" applyAlignment="1">
      <alignment horizontal="left" indent="1"/>
    </xf>
    <xf numFmtId="168" fontId="23" fillId="0" borderId="0" xfId="0" applyNumberFormat="1" applyFont="1" applyFill="1" applyProtection="1"/>
    <xf numFmtId="0" fontId="23" fillId="12" borderId="56" xfId="8" quotePrefix="1" applyFont="1" applyBorder="1" applyAlignment="1">
      <alignment horizontal="left" indent="1"/>
    </xf>
    <xf numFmtId="167" fontId="7" fillId="4" borderId="33" xfId="4" applyBorder="1" applyAlignment="1">
      <alignment vertical="center"/>
      <protection locked="0"/>
    </xf>
    <xf numFmtId="0" fontId="0" fillId="0" borderId="0" xfId="0" applyAlignment="1"/>
    <xf numFmtId="0" fontId="23" fillId="12" borderId="8" xfId="8" applyFont="1" applyBorder="1" applyAlignment="1">
      <alignment horizontal="left" indent="1"/>
    </xf>
    <xf numFmtId="167" fontId="23" fillId="5" borderId="1" xfId="5" applyFont="1" applyBorder="1">
      <alignment vertical="center"/>
      <protection locked="0"/>
    </xf>
    <xf numFmtId="0" fontId="23" fillId="0" borderId="0" xfId="0" applyFont="1" applyFill="1" applyAlignment="1" applyProtection="1"/>
    <xf numFmtId="0" fontId="24" fillId="12" borderId="6" xfId="8" applyFont="1" applyBorder="1" applyAlignment="1"/>
    <xf numFmtId="167" fontId="25" fillId="6" borderId="6" xfId="6" applyNumberFormat="1" applyFont="1" applyBorder="1" applyAlignment="1" applyProtection="1">
      <alignment vertical="center"/>
      <protection locked="0"/>
    </xf>
    <xf numFmtId="0" fontId="23" fillId="12" borderId="57" xfId="8" applyFont="1" applyBorder="1" applyAlignment="1">
      <alignment horizontal="left" indent="1"/>
    </xf>
    <xf numFmtId="167" fontId="7" fillId="4" borderId="21" xfId="4" applyNumberFormat="1" applyBorder="1" applyAlignment="1">
      <alignment vertical="center"/>
      <protection locked="0"/>
    </xf>
    <xf numFmtId="167" fontId="7" fillId="4" borderId="33" xfId="4" applyNumberFormat="1" applyBorder="1" applyAlignment="1">
      <alignment vertical="center"/>
      <protection locked="0"/>
    </xf>
    <xf numFmtId="167" fontId="25" fillId="6" borderId="6" xfId="6" applyNumberFormat="1" applyFont="1" applyBorder="1" applyAlignment="1">
      <alignment vertical="center"/>
      <protection locked="0"/>
    </xf>
    <xf numFmtId="168" fontId="41" fillId="0" borderId="0" xfId="0" quotePrefix="1" applyNumberFormat="1" applyFont="1" applyFill="1" applyBorder="1" applyAlignment="1" applyProtection="1">
      <alignment horizontal="center"/>
    </xf>
    <xf numFmtId="167" fontId="7" fillId="4" borderId="27" xfId="4" applyNumberFormat="1" applyBorder="1" applyAlignment="1">
      <alignment vertical="center"/>
      <protection locked="0"/>
    </xf>
    <xf numFmtId="0" fontId="31" fillId="16" borderId="1" xfId="14" quotePrefix="1" applyFont="1" applyBorder="1" applyAlignment="1">
      <alignment horizontal="center"/>
    </xf>
    <xf numFmtId="0" fontId="31" fillId="0" borderId="0" xfId="0" quotePrefix="1" applyFont="1" applyFill="1" applyBorder="1" applyAlignment="1" applyProtection="1">
      <alignment horizontal="center"/>
    </xf>
    <xf numFmtId="0" fontId="23" fillId="12" borderId="25" xfId="8" quotePrefix="1" applyFont="1" applyBorder="1" applyAlignment="1">
      <alignment horizontal="left"/>
    </xf>
    <xf numFmtId="167" fontId="7" fillId="4" borderId="21" xfId="4" applyBorder="1" applyAlignment="1" applyProtection="1">
      <alignment vertical="center"/>
      <protection locked="0"/>
    </xf>
    <xf numFmtId="167" fontId="23" fillId="6" borderId="26" xfId="6" applyNumberFormat="1" applyFont="1" applyBorder="1" applyAlignment="1" applyProtection="1">
      <alignment vertical="center"/>
      <protection locked="0"/>
    </xf>
    <xf numFmtId="0" fontId="23" fillId="12" borderId="25" xfId="8" quotePrefix="1" applyFont="1" applyBorder="1" applyAlignment="1"/>
    <xf numFmtId="167" fontId="7" fillId="4" borderId="27" xfId="4" applyBorder="1" applyAlignment="1" applyProtection="1">
      <alignment vertical="center"/>
      <protection locked="0"/>
    </xf>
    <xf numFmtId="167" fontId="23" fillId="6" borderId="21" xfId="6" applyNumberFormat="1" applyFont="1" applyBorder="1" applyAlignment="1" applyProtection="1">
      <alignment vertical="center"/>
      <protection locked="0"/>
    </xf>
    <xf numFmtId="167" fontId="23" fillId="5" borderId="1" xfId="5" quotePrefix="1" applyFont="1" applyBorder="1" applyAlignment="1" applyProtection="1">
      <alignment vertical="center"/>
      <protection locked="0"/>
    </xf>
    <xf numFmtId="0" fontId="17" fillId="0" borderId="0" xfId="0" applyFont="1" applyAlignment="1"/>
    <xf numFmtId="0" fontId="23" fillId="12" borderId="25" xfId="8" applyFont="1" applyBorder="1" applyAlignment="1"/>
    <xf numFmtId="0" fontId="23" fillId="12" borderId="10" xfId="8" applyFont="1" applyBorder="1" applyAlignment="1">
      <alignment horizontal="left" indent="1"/>
    </xf>
    <xf numFmtId="0" fontId="23" fillId="12" borderId="56" xfId="8" applyFont="1" applyBorder="1" applyAlignment="1"/>
    <xf numFmtId="167" fontId="23" fillId="6" borderId="33" xfId="6" applyNumberFormat="1" applyFont="1" applyBorder="1" applyAlignment="1" applyProtection="1">
      <alignment vertical="center"/>
      <protection locked="0"/>
    </xf>
    <xf numFmtId="0" fontId="6" fillId="3" borderId="1" xfId="3" applyNumberFormat="1" applyBorder="1">
      <alignment vertical="center"/>
    </xf>
    <xf numFmtId="0" fontId="4" fillId="12" borderId="4" xfId="8" applyFont="1" applyBorder="1" applyAlignment="1"/>
    <xf numFmtId="0" fontId="4" fillId="12" borderId="14" xfId="8" applyFont="1" applyBorder="1" applyAlignment="1"/>
    <xf numFmtId="0" fontId="4" fillId="12" borderId="5" xfId="8" applyFont="1" applyBorder="1" applyAlignment="1"/>
    <xf numFmtId="0" fontId="0" fillId="12" borderId="1" xfId="8" applyFont="1" applyBorder="1" applyAlignment="1">
      <alignment horizontal="center"/>
    </xf>
    <xf numFmtId="0" fontId="0" fillId="12" borderId="4" xfId="8" applyFont="1" applyBorder="1" applyAlignment="1"/>
    <xf numFmtId="0" fontId="6" fillId="3" borderId="58" xfId="3" applyNumberFormat="1" applyBorder="1">
      <alignment vertical="center"/>
    </xf>
    <xf numFmtId="0" fontId="6" fillId="3" borderId="59" xfId="3" applyNumberFormat="1" applyBorder="1">
      <alignment vertical="center"/>
    </xf>
    <xf numFmtId="0" fontId="23" fillId="12" borderId="60" xfId="8" quotePrefix="1" applyFont="1" applyBorder="1" applyAlignment="1">
      <alignment horizontal="left"/>
    </xf>
    <xf numFmtId="0" fontId="0" fillId="12" borderId="61" xfId="8" applyFont="1" applyBorder="1" applyAlignment="1"/>
    <xf numFmtId="0" fontId="0" fillId="12" borderId="62" xfId="8" applyFont="1" applyBorder="1" applyAlignment="1"/>
    <xf numFmtId="167" fontId="11" fillId="7" borderId="5" xfId="7" applyNumberFormat="1" applyBorder="1">
      <alignment horizontal="center" vertical="center"/>
      <protection locked="0"/>
    </xf>
    <xf numFmtId="0" fontId="0" fillId="12" borderId="23" xfId="8" applyFont="1" applyBorder="1" applyAlignment="1"/>
    <xf numFmtId="0" fontId="0" fillId="12" borderId="24" xfId="8" applyFont="1" applyBorder="1" applyAlignment="1"/>
    <xf numFmtId="0" fontId="7" fillId="0" borderId="0" xfId="0" applyFont="1"/>
    <xf numFmtId="0" fontId="7" fillId="0" borderId="0" xfId="0" applyFont="1" applyAlignment="1"/>
    <xf numFmtId="0" fontId="23" fillId="12" borderId="56" xfId="8" applyFont="1" applyBorder="1" applyAlignment="1">
      <alignment horizontal="left" indent="1"/>
    </xf>
    <xf numFmtId="0" fontId="23" fillId="12" borderId="63" xfId="8" applyFont="1" applyBorder="1" applyAlignment="1">
      <alignment wrapText="1"/>
    </xf>
    <xf numFmtId="0" fontId="0" fillId="12" borderId="35" xfId="8" applyFont="1" applyBorder="1" applyAlignment="1"/>
    <xf numFmtId="0" fontId="23" fillId="12" borderId="36" xfId="8" applyFont="1" applyBorder="1" applyAlignment="1"/>
    <xf numFmtId="0" fontId="0" fillId="12" borderId="36" xfId="8" applyFont="1" applyBorder="1" applyAlignment="1"/>
    <xf numFmtId="171" fontId="7" fillId="0" borderId="0" xfId="0" quotePrefix="1" applyNumberFormat="1" applyFont="1" applyBorder="1" applyAlignment="1">
      <alignment horizontal="center" vertical="center"/>
    </xf>
    <xf numFmtId="0" fontId="42" fillId="0" borderId="0" xfId="0" applyFont="1" applyFill="1"/>
    <xf numFmtId="0" fontId="43" fillId="0" borderId="0" xfId="0" applyFont="1" applyFill="1" applyAlignment="1">
      <alignment wrapText="1"/>
    </xf>
    <xf numFmtId="0" fontId="7" fillId="0" borderId="0" xfId="0" applyFont="1" applyAlignment="1">
      <alignment wrapText="1"/>
    </xf>
    <xf numFmtId="0" fontId="43" fillId="0" borderId="0" xfId="0" applyFont="1" applyFill="1" applyAlignment="1">
      <alignment horizontal="center"/>
    </xf>
    <xf numFmtId="0" fontId="23" fillId="12" borderId="56" xfId="8" quotePrefix="1" applyFont="1" applyBorder="1" applyAlignment="1">
      <alignment horizontal="left"/>
    </xf>
    <xf numFmtId="167" fontId="11" fillId="7" borderId="6" xfId="7" applyNumberFormat="1" applyBorder="1">
      <alignment horizontal="center" vertical="center"/>
      <protection locked="0"/>
    </xf>
    <xf numFmtId="0" fontId="7" fillId="0" borderId="0" xfId="0" applyFont="1" applyBorder="1"/>
    <xf numFmtId="0" fontId="7" fillId="0" borderId="0" xfId="0" applyFont="1" applyFill="1"/>
    <xf numFmtId="0" fontId="43" fillId="0" borderId="0" xfId="0" applyFont="1" applyFill="1"/>
    <xf numFmtId="0" fontId="23" fillId="12" borderId="56" xfId="8" applyFont="1" applyBorder="1" applyAlignment="1">
      <alignment horizontal="left"/>
    </xf>
    <xf numFmtId="0" fontId="7" fillId="0" borderId="0" xfId="0" applyFont="1" applyBorder="1" applyAlignment="1">
      <alignment vertical="center" wrapText="1"/>
    </xf>
    <xf numFmtId="0" fontId="7" fillId="0" borderId="0" xfId="0" applyFont="1" applyFill="1" applyBorder="1" applyAlignment="1">
      <alignment vertical="center" wrapText="1"/>
    </xf>
    <xf numFmtId="0" fontId="7" fillId="0" borderId="0" xfId="0" applyFont="1" applyBorder="1" applyAlignment="1">
      <alignment horizontal="left" vertical="center" wrapText="1"/>
    </xf>
    <xf numFmtId="0" fontId="11" fillId="0" borderId="6" xfId="0" applyFont="1" applyBorder="1"/>
    <xf numFmtId="0" fontId="7" fillId="0" borderId="3" xfId="0" applyFont="1" applyBorder="1" applyAlignment="1">
      <alignment horizontal="center"/>
    </xf>
    <xf numFmtId="0" fontId="7" fillId="0" borderId="2" xfId="0" applyFont="1" applyBorder="1" applyAlignment="1">
      <alignment horizontal="center"/>
    </xf>
    <xf numFmtId="0" fontId="7" fillId="0" borderId="2" xfId="0" applyFont="1" applyBorder="1"/>
    <xf numFmtId="0" fontId="7" fillId="0" borderId="9" xfId="0" applyFont="1" applyBorder="1" applyAlignment="1">
      <alignment horizontal="center"/>
    </xf>
    <xf numFmtId="0" fontId="23" fillId="12" borderId="4" xfId="8" quotePrefix="1" applyFont="1" applyBorder="1" applyAlignment="1">
      <alignment horizontal="left"/>
    </xf>
    <xf numFmtId="171" fontId="36" fillId="0" borderId="0" xfId="0" quotePrefix="1" applyNumberFormat="1" applyFont="1" applyBorder="1" applyAlignment="1">
      <alignment horizontal="center" vertical="center"/>
    </xf>
    <xf numFmtId="0" fontId="26" fillId="0" borderId="0" xfId="0" quotePrefix="1" applyFont="1" applyFill="1" applyBorder="1" applyAlignment="1">
      <alignment horizontal="center" vertical="center" wrapText="1"/>
    </xf>
    <xf numFmtId="0" fontId="11" fillId="0" borderId="8" xfId="0" applyFont="1" applyBorder="1"/>
    <xf numFmtId="0" fontId="7" fillId="0" borderId="13" xfId="0" applyFont="1" applyBorder="1" applyAlignment="1">
      <alignment horizontal="center"/>
    </xf>
    <xf numFmtId="0" fontId="7" fillId="0" borderId="15" xfId="0" applyFont="1" applyBorder="1" applyAlignment="1">
      <alignment horizontal="center"/>
    </xf>
    <xf numFmtId="0" fontId="7" fillId="0" borderId="12" xfId="0" applyFont="1" applyBorder="1" applyAlignment="1">
      <alignment horizontal="center"/>
    </xf>
    <xf numFmtId="14" fontId="7" fillId="12" borderId="1" xfId="8" applyNumberFormat="1" applyFont="1" applyBorder="1" applyAlignment="1">
      <alignment horizontal="center" vertical="center"/>
    </xf>
    <xf numFmtId="0" fontId="0" fillId="12" borderId="1" xfId="8" applyFont="1" applyBorder="1" applyAlignment="1">
      <alignment horizontal="center" vertical="center" wrapText="1"/>
    </xf>
    <xf numFmtId="0" fontId="44" fillId="0" borderId="0" xfId="0" quotePrefix="1" applyFont="1" applyBorder="1" applyAlignment="1">
      <alignment horizontal="center" vertical="center" wrapText="1"/>
    </xf>
    <xf numFmtId="0" fontId="45" fillId="0" borderId="0" xfId="0" quotePrefix="1" applyFont="1" applyBorder="1" applyAlignment="1">
      <alignment horizontal="center" vertical="center" wrapText="1"/>
    </xf>
    <xf numFmtId="0" fontId="45" fillId="0" borderId="0" xfId="0" quotePrefix="1" applyFont="1" applyFill="1" applyBorder="1" applyAlignment="1">
      <alignment horizontal="center" vertical="center" wrapText="1"/>
    </xf>
    <xf numFmtId="0" fontId="46" fillId="0" borderId="6" xfId="0" applyFont="1" applyBorder="1"/>
    <xf numFmtId="0" fontId="47" fillId="0" borderId="3" xfId="0" applyFont="1" applyBorder="1" applyAlignment="1">
      <alignment horizontal="center"/>
    </xf>
    <xf numFmtId="0" fontId="47" fillId="0" borderId="2" xfId="0" applyFont="1" applyBorder="1" applyAlignment="1">
      <alignment horizontal="center"/>
    </xf>
    <xf numFmtId="14" fontId="7" fillId="6" borderId="1" xfId="6" applyNumberFormat="1" applyFont="1" applyBorder="1">
      <alignment vertical="center"/>
      <protection locked="0"/>
    </xf>
    <xf numFmtId="0" fontId="6" fillId="3" borderId="1" xfId="3" applyNumberFormat="1" applyBorder="1" applyAlignment="1">
      <alignment horizontal="center" vertical="center"/>
    </xf>
    <xf numFmtId="0" fontId="7" fillId="12" borderId="3" xfId="8" applyFont="1" applyBorder="1" applyAlignment="1">
      <alignment vertical="center" wrapText="1"/>
    </xf>
    <xf numFmtId="0" fontId="7" fillId="12" borderId="2" xfId="8" applyFont="1" applyBorder="1" applyAlignment="1">
      <alignment vertical="center" wrapText="1"/>
    </xf>
    <xf numFmtId="0" fontId="1" fillId="0" borderId="0" xfId="0" applyFont="1" applyFill="1" applyBorder="1" applyAlignment="1">
      <alignment horizontal="center" vertical="center" wrapText="1"/>
    </xf>
    <xf numFmtId="0" fontId="48" fillId="0" borderId="7" xfId="0" applyFont="1" applyBorder="1"/>
    <xf numFmtId="0" fontId="43" fillId="0" borderId="10" xfId="0" applyFont="1" applyBorder="1" applyAlignment="1">
      <alignment horizontal="center"/>
    </xf>
    <xf numFmtId="0" fontId="43" fillId="0" borderId="0" xfId="0" applyFont="1" applyBorder="1" applyAlignment="1">
      <alignment horizontal="center"/>
    </xf>
    <xf numFmtId="0" fontId="7" fillId="0" borderId="0" xfId="0" applyFont="1" applyBorder="1" applyAlignment="1">
      <alignment horizontal="center"/>
    </xf>
    <xf numFmtId="0" fontId="7" fillId="0" borderId="11" xfId="0" applyFont="1" applyBorder="1" applyAlignment="1">
      <alignment horizontal="center"/>
    </xf>
    <xf numFmtId="0" fontId="7" fillId="0" borderId="0" xfId="0" applyFont="1" applyFill="1" applyBorder="1" applyAlignment="1">
      <alignment horizontal="center" vertical="center" wrapText="1"/>
    </xf>
    <xf numFmtId="0" fontId="49" fillId="0" borderId="8" xfId="0" applyFont="1" applyBorder="1"/>
    <xf numFmtId="0" fontId="50" fillId="0" borderId="13" xfId="0" applyFont="1" applyBorder="1" applyAlignment="1">
      <alignment horizontal="center"/>
    </xf>
    <xf numFmtId="0" fontId="50" fillId="0" borderId="15" xfId="0" applyFont="1" applyBorder="1" applyAlignment="1">
      <alignment horizontal="center"/>
    </xf>
    <xf numFmtId="0" fontId="50" fillId="0" borderId="15" xfId="0" applyFont="1" applyBorder="1" applyAlignment="1">
      <alignment horizontal="center" wrapText="1"/>
    </xf>
    <xf numFmtId="0" fontId="50" fillId="0" borderId="12" xfId="0" applyFont="1" applyBorder="1" applyAlignment="1">
      <alignment horizontal="center"/>
    </xf>
    <xf numFmtId="0" fontId="7" fillId="12" borderId="64" xfId="8" applyFont="1" applyBorder="1" applyAlignment="1">
      <alignment horizontal="center" vertical="center" wrapText="1"/>
    </xf>
    <xf numFmtId="0" fontId="7" fillId="12" borderId="15" xfId="8" applyFont="1" applyBorder="1" applyAlignment="1">
      <alignment horizontal="center" vertical="center" wrapText="1"/>
    </xf>
    <xf numFmtId="0" fontId="7" fillId="12" borderId="65" xfId="8" applyFont="1" applyBorder="1" applyAlignment="1">
      <alignment horizontal="center" vertical="center" wrapText="1"/>
    </xf>
    <xf numFmtId="0" fontId="7" fillId="12" borderId="63" xfId="8" applyFont="1" applyBorder="1" applyAlignment="1">
      <alignment horizontal="center" vertical="center" wrapText="1"/>
    </xf>
    <xf numFmtId="0" fontId="7" fillId="12" borderId="66" xfId="8" applyFont="1" applyBorder="1" applyAlignment="1">
      <alignment horizontal="center" vertical="center" wrapText="1"/>
    </xf>
    <xf numFmtId="0" fontId="7" fillId="12" borderId="67" xfId="8" applyFont="1" applyBorder="1" applyAlignment="1">
      <alignment horizontal="center" vertical="center" wrapText="1"/>
    </xf>
    <xf numFmtId="0" fontId="7" fillId="12" borderId="34" xfId="8" applyFont="1" applyBorder="1" applyAlignment="1">
      <alignment horizontal="center" vertical="center" wrapText="1"/>
    </xf>
    <xf numFmtId="0" fontId="7" fillId="12" borderId="68" xfId="8" applyFont="1" applyBorder="1" applyAlignment="1">
      <alignment horizontal="center" vertical="center" wrapText="1"/>
    </xf>
    <xf numFmtId="0" fontId="7" fillId="12" borderId="33" xfId="8" applyFont="1" applyBorder="1" applyAlignment="1">
      <alignment horizontal="center" vertical="center" wrapText="1"/>
    </xf>
    <xf numFmtId="0" fontId="7" fillId="12" borderId="36" xfId="8" applyFont="1" applyBorder="1" applyAlignment="1">
      <alignment horizontal="center" vertical="center" wrapText="1"/>
    </xf>
    <xf numFmtId="0" fontId="7" fillId="12" borderId="13" xfId="8" applyFont="1" applyBorder="1" applyAlignment="1">
      <alignment horizontal="center" vertical="center" wrapText="1"/>
    </xf>
    <xf numFmtId="0" fontId="7" fillId="12" borderId="16" xfId="8" applyFont="1" applyBorder="1" applyAlignment="1">
      <alignment horizontal="center" vertical="center" wrapText="1"/>
    </xf>
    <xf numFmtId="0" fontId="7" fillId="12" borderId="69" xfId="8" applyFont="1" applyBorder="1" applyAlignment="1">
      <alignment horizontal="center" vertical="center" wrapText="1"/>
    </xf>
    <xf numFmtId="0" fontId="7" fillId="12" borderId="70" xfId="8" applyFont="1" applyBorder="1" applyAlignment="1">
      <alignment horizontal="center" vertical="center" wrapText="1"/>
    </xf>
    <xf numFmtId="0" fontId="7" fillId="12" borderId="1" xfId="8" applyFont="1" applyBorder="1" applyAlignment="1"/>
    <xf numFmtId="0" fontId="23" fillId="12" borderId="16" xfId="8" applyFont="1" applyBorder="1" applyAlignment="1">
      <alignment horizontal="center" vertical="center" wrapText="1"/>
    </xf>
    <xf numFmtId="0" fontId="23" fillId="12" borderId="69" xfId="8" applyFont="1" applyBorder="1" applyAlignment="1">
      <alignment horizontal="center" vertical="center" wrapText="1"/>
    </xf>
    <xf numFmtId="0" fontId="23" fillId="12" borderId="17" xfId="8" applyFont="1" applyBorder="1" applyAlignment="1">
      <alignment horizontal="center" vertical="center" wrapText="1"/>
    </xf>
    <xf numFmtId="0" fontId="23" fillId="12" borderId="5" xfId="8" applyFont="1" applyBorder="1" applyAlignment="1">
      <alignment horizontal="center" vertical="center" wrapText="1"/>
    </xf>
    <xf numFmtId="0" fontId="7" fillId="12" borderId="1" xfId="8" applyFont="1" applyBorder="1" applyAlignment="1">
      <alignment horizontal="center" wrapText="1"/>
    </xf>
    <xf numFmtId="0" fontId="47" fillId="12" borderId="1" xfId="8" applyFont="1" applyBorder="1" applyAlignment="1">
      <alignment horizontal="center" wrapText="1"/>
    </xf>
    <xf numFmtId="0" fontId="43" fillId="12" borderId="1" xfId="8" applyFont="1" applyBorder="1" applyAlignment="1">
      <alignment horizontal="center" wrapText="1"/>
    </xf>
    <xf numFmtId="0" fontId="50" fillId="12" borderId="1" xfId="8" applyFont="1" applyBorder="1" applyAlignment="1">
      <alignment horizontal="center" wrapText="1"/>
    </xf>
    <xf numFmtId="0" fontId="47" fillId="12" borderId="1" xfId="8" applyFont="1" applyBorder="1" applyAlignment="1">
      <alignment horizontal="center" vertical="center" wrapText="1"/>
    </xf>
    <xf numFmtId="0" fontId="43" fillId="12" borderId="1" xfId="8" applyFont="1" applyBorder="1" applyAlignment="1">
      <alignment horizontal="center" vertical="center" wrapText="1"/>
    </xf>
    <xf numFmtId="0" fontId="50" fillId="12" borderId="1" xfId="8" applyFont="1" applyBorder="1" applyAlignment="1">
      <alignment horizontal="center" vertical="center" wrapText="1"/>
    </xf>
    <xf numFmtId="170" fontId="21" fillId="3" borderId="4" xfId="11" applyBorder="1">
      <alignment horizontal="center" vertical="center"/>
    </xf>
    <xf numFmtId="0" fontId="7" fillId="0" borderId="50" xfId="0" applyFont="1" applyBorder="1"/>
    <xf numFmtId="0" fontId="7" fillId="12" borderId="0" xfId="8" applyFont="1" applyBorder="1" applyAlignment="1"/>
    <xf numFmtId="0" fontId="7" fillId="15" borderId="71" xfId="13" applyNumberFormat="1" applyFont="1" applyBorder="1">
      <alignment vertical="center"/>
      <protection locked="0"/>
    </xf>
    <xf numFmtId="0" fontId="7" fillId="4" borderId="72" xfId="16" applyFont="1" applyFill="1" applyBorder="1">
      <alignment horizontal="center" vertical="center"/>
      <protection locked="0"/>
    </xf>
    <xf numFmtId="0" fontId="7" fillId="15" borderId="72" xfId="13" applyNumberFormat="1" applyFont="1" applyBorder="1">
      <alignment vertical="center"/>
      <protection locked="0"/>
    </xf>
    <xf numFmtId="14" fontId="7" fillId="15" borderId="72" xfId="13" applyNumberFormat="1" applyFont="1" applyBorder="1">
      <alignment vertical="center"/>
      <protection locked="0"/>
    </xf>
    <xf numFmtId="0" fontId="7" fillId="6" borderId="72" xfId="6" applyNumberFormat="1" applyFont="1" applyFill="1" applyBorder="1" applyAlignment="1">
      <alignment horizontal="center" vertical="center"/>
      <protection locked="0"/>
    </xf>
    <xf numFmtId="0" fontId="7" fillId="4" borderId="72" xfId="16" applyFont="1" applyBorder="1">
      <alignment horizontal="center" vertical="center"/>
      <protection locked="0"/>
    </xf>
    <xf numFmtId="166" fontId="7" fillId="17" borderId="72" xfId="18" applyFont="1" applyBorder="1">
      <alignment vertical="center"/>
      <protection locked="0"/>
    </xf>
    <xf numFmtId="167" fontId="7" fillId="4" borderId="72" xfId="4" applyBorder="1">
      <alignment vertical="center"/>
      <protection locked="0"/>
    </xf>
    <xf numFmtId="167" fontId="7" fillId="4" borderId="72" xfId="4" applyFill="1" applyBorder="1">
      <alignment vertical="center"/>
      <protection locked="0"/>
    </xf>
    <xf numFmtId="0" fontId="7" fillId="4" borderId="73" xfId="16" applyFont="1" applyBorder="1">
      <alignment horizontal="center" vertical="center"/>
      <protection locked="0"/>
    </xf>
    <xf numFmtId="168" fontId="7" fillId="0" borderId="0" xfId="0" applyNumberFormat="1" applyFont="1" applyBorder="1"/>
    <xf numFmtId="0" fontId="7" fillId="6" borderId="74" xfId="6" applyNumberFormat="1" applyFont="1" applyBorder="1" applyAlignment="1">
      <alignment horizontal="center" vertical="center"/>
      <protection locked="0"/>
    </xf>
    <xf numFmtId="167" fontId="7" fillId="6" borderId="73" xfId="6" applyNumberFormat="1" applyFont="1" applyBorder="1">
      <alignment vertical="center"/>
      <protection locked="0"/>
    </xf>
    <xf numFmtId="0" fontId="7" fillId="15" borderId="74" xfId="13" applyNumberFormat="1" applyFont="1" applyBorder="1">
      <alignment vertical="center"/>
      <protection locked="0"/>
    </xf>
    <xf numFmtId="167" fontId="7" fillId="4" borderId="73" xfId="4" applyBorder="1">
      <alignment vertical="center"/>
      <protection locked="0"/>
    </xf>
    <xf numFmtId="0" fontId="7" fillId="6" borderId="74" xfId="6" applyNumberFormat="1" applyFont="1" applyBorder="1">
      <alignment vertical="center"/>
      <protection locked="0"/>
    </xf>
    <xf numFmtId="0" fontId="7" fillId="6" borderId="72" xfId="6" applyNumberFormat="1" applyFont="1" applyBorder="1">
      <alignment vertical="center"/>
      <protection locked="0"/>
    </xf>
    <xf numFmtId="0" fontId="7" fillId="6" borderId="75" xfId="6" applyNumberFormat="1" applyFont="1" applyBorder="1">
      <alignment vertical="center"/>
      <protection locked="0"/>
    </xf>
    <xf numFmtId="0" fontId="7" fillId="6" borderId="73" xfId="6" applyNumberFormat="1" applyFont="1" applyBorder="1">
      <alignment vertical="center"/>
      <protection locked="0"/>
    </xf>
    <xf numFmtId="0" fontId="7" fillId="6" borderId="71" xfId="6" applyNumberFormat="1" applyFont="1" applyBorder="1">
      <alignment vertical="center"/>
      <protection locked="0"/>
    </xf>
    <xf numFmtId="9" fontId="7" fillId="6" borderId="76" xfId="6" applyNumberFormat="1" applyFont="1" applyBorder="1">
      <alignment vertical="center"/>
      <protection locked="0"/>
    </xf>
    <xf numFmtId="0" fontId="7" fillId="15" borderId="77" xfId="13" applyNumberFormat="1" applyFont="1" applyBorder="1">
      <alignment vertical="center"/>
      <protection locked="0"/>
    </xf>
    <xf numFmtId="0" fontId="7" fillId="4" borderId="78" xfId="16" applyFont="1" applyFill="1" applyBorder="1">
      <alignment horizontal="center" vertical="center"/>
      <protection locked="0"/>
    </xf>
    <xf numFmtId="0" fontId="7" fillId="15" borderId="78" xfId="13" applyNumberFormat="1" applyFont="1" applyBorder="1">
      <alignment vertical="center"/>
      <protection locked="0"/>
    </xf>
    <xf numFmtId="14" fontId="7" fillId="15" borderId="78" xfId="13" applyNumberFormat="1" applyFont="1" applyBorder="1">
      <alignment vertical="center"/>
      <protection locked="0"/>
    </xf>
    <xf numFmtId="0" fontId="7" fillId="6" borderId="78" xfId="6" applyNumberFormat="1" applyFont="1" applyFill="1" applyBorder="1" applyAlignment="1">
      <alignment horizontal="center" vertical="center"/>
      <protection locked="0"/>
    </xf>
    <xf numFmtId="0" fontId="7" fillId="4" borderId="78" xfId="16" applyFont="1" applyBorder="1">
      <alignment horizontal="center" vertical="center"/>
      <protection locked="0"/>
    </xf>
    <xf numFmtId="166" fontId="7" fillId="17" borderId="78" xfId="18" applyFont="1" applyBorder="1">
      <alignment vertical="center"/>
      <protection locked="0"/>
    </xf>
    <xf numFmtId="167" fontId="7" fillId="4" borderId="78" xfId="4" applyBorder="1">
      <alignment vertical="center"/>
      <protection locked="0"/>
    </xf>
    <xf numFmtId="167" fontId="7" fillId="4" borderId="78" xfId="4" applyFill="1" applyBorder="1">
      <alignment vertical="center"/>
      <protection locked="0"/>
    </xf>
    <xf numFmtId="0" fontId="7" fillId="4" borderId="79" xfId="16" applyFont="1" applyBorder="1">
      <alignment horizontal="center" vertical="center"/>
      <protection locked="0"/>
    </xf>
    <xf numFmtId="0" fontId="7" fillId="6" borderId="80" xfId="6" applyNumberFormat="1" applyFont="1" applyBorder="1" applyAlignment="1">
      <alignment horizontal="center" vertical="center"/>
      <protection locked="0"/>
    </xf>
    <xf numFmtId="167" fontId="7" fillId="6" borderId="79" xfId="6" applyNumberFormat="1" applyFont="1" applyBorder="1">
      <alignment vertical="center"/>
      <protection locked="0"/>
    </xf>
    <xf numFmtId="0" fontId="7" fillId="15" borderId="80" xfId="13" applyNumberFormat="1" applyFont="1" applyBorder="1">
      <alignment vertical="center"/>
      <protection locked="0"/>
    </xf>
    <xf numFmtId="167" fontId="7" fillId="4" borderId="79" xfId="4" applyBorder="1">
      <alignment vertical="center"/>
      <protection locked="0"/>
    </xf>
    <xf numFmtId="0" fontId="7" fillId="6" borderId="80" xfId="6" applyNumberFormat="1" applyFont="1" applyBorder="1">
      <alignment vertical="center"/>
      <protection locked="0"/>
    </xf>
    <xf numFmtId="0" fontId="7" fillId="6" borderId="78" xfId="6" applyNumberFormat="1" applyFont="1" applyBorder="1">
      <alignment vertical="center"/>
      <protection locked="0"/>
    </xf>
    <xf numFmtId="0" fontId="7" fillId="6" borderId="81" xfId="6" applyNumberFormat="1" applyFont="1" applyBorder="1">
      <alignment vertical="center"/>
      <protection locked="0"/>
    </xf>
    <xf numFmtId="0" fontId="7" fillId="6" borderId="79" xfId="6" applyNumberFormat="1" applyFont="1" applyBorder="1">
      <alignment vertical="center"/>
      <protection locked="0"/>
    </xf>
    <xf numFmtId="0" fontId="7" fillId="6" borderId="77" xfId="6" applyNumberFormat="1" applyFont="1" applyBorder="1">
      <alignment vertical="center"/>
      <protection locked="0"/>
    </xf>
    <xf numFmtId="9" fontId="7" fillId="6" borderId="82" xfId="6" applyNumberFormat="1" applyFont="1" applyBorder="1">
      <alignment vertical="center"/>
      <protection locked="0"/>
    </xf>
    <xf numFmtId="0" fontId="7" fillId="15" borderId="83" xfId="13" applyNumberFormat="1" applyFont="1" applyBorder="1">
      <alignment vertical="center"/>
      <protection locked="0"/>
    </xf>
    <xf numFmtId="0" fontId="7" fillId="4" borderId="84" xfId="16" applyFont="1" applyFill="1" applyBorder="1">
      <alignment horizontal="center" vertical="center"/>
      <protection locked="0"/>
    </xf>
    <xf numFmtId="0" fontId="7" fillId="15" borderId="84" xfId="13" applyNumberFormat="1" applyFont="1" applyBorder="1">
      <alignment vertical="center"/>
      <protection locked="0"/>
    </xf>
    <xf numFmtId="14" fontId="7" fillId="15" borderId="84" xfId="13" applyNumberFormat="1" applyFont="1" applyBorder="1">
      <alignment vertical="center"/>
      <protection locked="0"/>
    </xf>
    <xf numFmtId="0" fontId="7" fillId="6" borderId="84" xfId="6" applyNumberFormat="1" applyFont="1" applyFill="1" applyBorder="1" applyAlignment="1">
      <alignment horizontal="center" vertical="center"/>
      <protection locked="0"/>
    </xf>
    <xf numFmtId="0" fontId="7" fillId="4" borderId="84" xfId="16" applyFont="1" applyBorder="1">
      <alignment horizontal="center" vertical="center"/>
      <protection locked="0"/>
    </xf>
    <xf numFmtId="166" fontId="7" fillId="17" borderId="84" xfId="18" applyFont="1" applyBorder="1">
      <alignment vertical="center"/>
      <protection locked="0"/>
    </xf>
    <xf numFmtId="167" fontId="7" fillId="4" borderId="84" xfId="4" applyBorder="1">
      <alignment vertical="center"/>
      <protection locked="0"/>
    </xf>
    <xf numFmtId="167" fontId="7" fillId="4" borderId="84" xfId="4" applyFill="1" applyBorder="1">
      <alignment vertical="center"/>
      <protection locked="0"/>
    </xf>
    <xf numFmtId="0" fontId="7" fillId="4" borderId="85" xfId="16" applyFont="1" applyBorder="1">
      <alignment horizontal="center" vertical="center"/>
      <protection locked="0"/>
    </xf>
    <xf numFmtId="0" fontId="7" fillId="6" borderId="86" xfId="6" applyNumberFormat="1" applyFont="1" applyBorder="1" applyAlignment="1">
      <alignment horizontal="center" vertical="center"/>
      <protection locked="0"/>
    </xf>
    <xf numFmtId="167" fontId="7" fillId="6" borderId="85" xfId="6" applyNumberFormat="1" applyFont="1" applyBorder="1">
      <alignment vertical="center"/>
      <protection locked="0"/>
    </xf>
    <xf numFmtId="0" fontId="7" fillId="15" borderId="86" xfId="13" applyNumberFormat="1" applyFont="1" applyBorder="1">
      <alignment vertical="center"/>
      <protection locked="0"/>
    </xf>
    <xf numFmtId="167" fontId="7" fillId="4" borderId="85" xfId="4" applyBorder="1">
      <alignment vertical="center"/>
      <protection locked="0"/>
    </xf>
    <xf numFmtId="0" fontId="7" fillId="6" borderId="86" xfId="6" applyNumberFormat="1" applyFont="1" applyBorder="1">
      <alignment vertical="center"/>
      <protection locked="0"/>
    </xf>
    <xf numFmtId="0" fontId="7" fillId="6" borderId="84" xfId="6" applyNumberFormat="1" applyFont="1" applyBorder="1">
      <alignment vertical="center"/>
      <protection locked="0"/>
    </xf>
    <xf numFmtId="0" fontId="7" fillId="6" borderId="87" xfId="6" applyNumberFormat="1" applyFont="1" applyBorder="1">
      <alignment vertical="center"/>
      <protection locked="0"/>
    </xf>
    <xf numFmtId="0" fontId="7" fillId="6" borderId="85" xfId="6" applyNumberFormat="1" applyFont="1" applyBorder="1">
      <alignment vertical="center"/>
      <protection locked="0"/>
    </xf>
    <xf numFmtId="0" fontId="7" fillId="6" borderId="83" xfId="6" applyNumberFormat="1" applyFont="1" applyBorder="1">
      <alignment vertical="center"/>
      <protection locked="0"/>
    </xf>
    <xf numFmtId="9" fontId="7" fillId="6" borderId="88" xfId="6" applyNumberFormat="1" applyFont="1" applyBorder="1">
      <alignment vertical="center"/>
      <protection locked="0"/>
    </xf>
    <xf numFmtId="0" fontId="40" fillId="12" borderId="16" xfId="0" applyFont="1" applyFill="1" applyBorder="1" applyAlignment="1">
      <alignment horizontal="center" vertical="center"/>
    </xf>
    <xf numFmtId="0" fontId="7" fillId="12" borderId="69" xfId="0" applyFont="1" applyFill="1" applyBorder="1" applyAlignment="1">
      <alignment horizontal="center"/>
    </xf>
    <xf numFmtId="14" fontId="7" fillId="12" borderId="69" xfId="0" applyNumberFormat="1" applyFont="1" applyFill="1" applyBorder="1" applyAlignment="1">
      <alignment horizontal="center"/>
    </xf>
    <xf numFmtId="0" fontId="7" fillId="12" borderId="69" xfId="0" applyNumberFormat="1" applyFont="1" applyFill="1" applyBorder="1" applyAlignment="1">
      <alignment horizontal="center"/>
    </xf>
    <xf numFmtId="0" fontId="7" fillId="12" borderId="69" xfId="0" applyFont="1" applyFill="1" applyBorder="1" applyAlignment="1">
      <alignment horizontal="center" wrapText="1"/>
    </xf>
    <xf numFmtId="0" fontId="7" fillId="12" borderId="17" xfId="0" applyFont="1" applyFill="1" applyBorder="1" applyAlignment="1">
      <alignment horizontal="center" wrapText="1"/>
    </xf>
    <xf numFmtId="0" fontId="7" fillId="12" borderId="14" xfId="0" applyFont="1" applyFill="1" applyBorder="1" applyAlignment="1">
      <alignment horizontal="center" wrapText="1"/>
    </xf>
    <xf numFmtId="167" fontId="7" fillId="6" borderId="4" xfId="6" applyNumberFormat="1" applyFont="1" applyBorder="1">
      <alignment vertical="center"/>
      <protection locked="0"/>
    </xf>
    <xf numFmtId="167" fontId="7" fillId="6" borderId="1" xfId="6" applyNumberFormat="1" applyFont="1" applyBorder="1">
      <alignment vertical="center"/>
      <protection locked="0"/>
    </xf>
    <xf numFmtId="0" fontId="7" fillId="12" borderId="89" xfId="0" applyFont="1" applyFill="1" applyBorder="1" applyAlignment="1">
      <alignment horizontal="center"/>
    </xf>
    <xf numFmtId="0" fontId="7" fillId="12" borderId="14" xfId="0" applyFont="1" applyFill="1" applyBorder="1" applyAlignment="1">
      <alignment horizontal="center"/>
    </xf>
    <xf numFmtId="0" fontId="7" fillId="12" borderId="5" xfId="0" applyFont="1" applyFill="1" applyBorder="1" applyAlignment="1">
      <alignment horizontal="center"/>
    </xf>
    <xf numFmtId="164" fontId="7" fillId="0" borderId="0" xfId="0" applyNumberFormat="1" applyFont="1" applyFill="1" applyBorder="1" applyAlignment="1">
      <alignment horizontal="right"/>
    </xf>
    <xf numFmtId="164" fontId="7" fillId="16" borderId="1" xfId="14" applyNumberFormat="1" applyFont="1" applyBorder="1" applyAlignment="1">
      <alignment horizontal="right"/>
    </xf>
    <xf numFmtId="0" fontId="0" fillId="0" borderId="0" xfId="0" applyFont="1"/>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wrapText="1"/>
    </xf>
    <xf numFmtId="0" fontId="1" fillId="0" borderId="7" xfId="0" applyFont="1" applyBorder="1" applyAlignment="1">
      <alignment horizontal="center" vertical="center" wrapText="1"/>
    </xf>
    <xf numFmtId="0" fontId="0" fillId="0" borderId="0" xfId="0" applyFont="1" applyBorder="1" applyAlignment="1">
      <alignment horizontal="center" wrapText="1"/>
    </xf>
    <xf numFmtId="0" fontId="1" fillId="0" borderId="8" xfId="0" applyFont="1" applyBorder="1" applyAlignment="1">
      <alignment horizontal="center" vertical="center" wrapText="1"/>
    </xf>
    <xf numFmtId="0" fontId="1" fillId="0" borderId="58" xfId="0" applyFont="1" applyBorder="1"/>
    <xf numFmtId="0" fontId="1" fillId="0" borderId="0" xfId="0" applyFont="1" applyBorder="1"/>
    <xf numFmtId="0" fontId="25" fillId="0" borderId="0" xfId="0" applyFont="1" applyFill="1" applyBorder="1" applyProtection="1"/>
    <xf numFmtId="0" fontId="9" fillId="12" borderId="14" xfId="8" applyFont="1" applyBorder="1" applyAlignment="1">
      <alignment horizontal="center" vertical="center"/>
    </xf>
    <xf numFmtId="0" fontId="23" fillId="12" borderId="3" xfId="8" quotePrefix="1" applyFont="1" applyBorder="1" applyAlignment="1">
      <alignment horizontal="left" indent="1"/>
    </xf>
    <xf numFmtId="0" fontId="9" fillId="12" borderId="2" xfId="8" applyFont="1" applyBorder="1" applyAlignment="1">
      <alignment horizontal="center" vertical="center"/>
    </xf>
    <xf numFmtId="0" fontId="11" fillId="12" borderId="9" xfId="8" applyFont="1" applyBorder="1" applyAlignment="1">
      <alignment horizontal="center" vertical="center"/>
    </xf>
    <xf numFmtId="0" fontId="23" fillId="12" borderId="13" xfId="8" quotePrefix="1" applyFont="1" applyBorder="1" applyAlignment="1">
      <alignment horizontal="left" indent="1"/>
    </xf>
    <xf numFmtId="0" fontId="0" fillId="12" borderId="12" xfId="8" applyFont="1" applyBorder="1" applyAlignment="1"/>
    <xf numFmtId="167" fontId="7" fillId="6" borderId="12" xfId="6" applyNumberFormat="1" applyFont="1" applyBorder="1">
      <alignment vertical="center"/>
      <protection locked="0"/>
    </xf>
    <xf numFmtId="0" fontId="7" fillId="0" borderId="0" xfId="0" applyFont="1" applyBorder="1" applyAlignment="1">
      <alignment vertical="center"/>
    </xf>
    <xf numFmtId="171" fontId="11" fillId="0" borderId="29" xfId="0" quotePrefix="1" applyNumberFormat="1" applyFont="1" applyBorder="1" applyAlignment="1">
      <alignment horizontal="center" vertical="center"/>
    </xf>
    <xf numFmtId="171" fontId="42" fillId="0" borderId="0" xfId="0" quotePrefix="1" applyNumberFormat="1" applyFont="1" applyFill="1" applyBorder="1" applyAlignment="1">
      <alignment horizontal="center" vertical="center"/>
    </xf>
    <xf numFmtId="0" fontId="7" fillId="21" borderId="13" xfId="0" applyFont="1" applyFill="1" applyBorder="1" applyAlignment="1">
      <alignment horizontal="center" vertical="center" wrapText="1"/>
    </xf>
    <xf numFmtId="0" fontId="7" fillId="21" borderId="68" xfId="0" applyFont="1" applyFill="1" applyBorder="1" applyAlignment="1">
      <alignment horizontal="center" vertical="center" wrapText="1"/>
    </xf>
    <xf numFmtId="0" fontId="7" fillId="21" borderId="1" xfId="0" applyFont="1" applyFill="1" applyBorder="1" applyAlignment="1">
      <alignment horizontal="center" vertical="center" wrapText="1"/>
    </xf>
    <xf numFmtId="170" fontId="21" fillId="3" borderId="1" xfId="11" applyBorder="1">
      <alignment horizontal="center" vertical="center"/>
    </xf>
    <xf numFmtId="167" fontId="7" fillId="15" borderId="72" xfId="13" applyBorder="1">
      <alignment vertical="center"/>
      <protection locked="0"/>
    </xf>
    <xf numFmtId="3" fontId="7" fillId="15" borderId="72" xfId="13" applyNumberFormat="1" applyFont="1" applyBorder="1">
      <alignment vertical="center"/>
      <protection locked="0"/>
    </xf>
    <xf numFmtId="3" fontId="7" fillId="15" borderId="73" xfId="13" applyNumberFormat="1" applyFont="1" applyBorder="1">
      <alignment vertical="center"/>
      <protection locked="0"/>
    </xf>
    <xf numFmtId="0" fontId="7" fillId="4" borderId="74" xfId="16" applyFont="1" applyBorder="1">
      <alignment horizontal="center" vertical="center"/>
      <protection locked="0"/>
    </xf>
    <xf numFmtId="3" fontId="7" fillId="6" borderId="90" xfId="6" applyNumberFormat="1" applyFont="1" applyBorder="1">
      <alignment vertical="center"/>
      <protection locked="0"/>
    </xf>
    <xf numFmtId="167" fontId="7" fillId="15" borderId="78" xfId="13" applyBorder="1">
      <alignment vertical="center"/>
      <protection locked="0"/>
    </xf>
    <xf numFmtId="3" fontId="7" fillId="15" borderId="78" xfId="13" applyNumberFormat="1" applyFont="1" applyBorder="1">
      <alignment vertical="center"/>
      <protection locked="0"/>
    </xf>
    <xf numFmtId="3" fontId="7" fillId="15" borderId="79" xfId="13" applyNumberFormat="1" applyFont="1" applyBorder="1">
      <alignment vertical="center"/>
      <protection locked="0"/>
    </xf>
    <xf numFmtId="0" fontId="7" fillId="4" borderId="80" xfId="16" applyFont="1" applyBorder="1">
      <alignment horizontal="center" vertical="center"/>
      <protection locked="0"/>
    </xf>
    <xf numFmtId="3" fontId="7" fillId="6" borderId="91" xfId="6" applyNumberFormat="1" applyFont="1" applyBorder="1">
      <alignment vertical="center"/>
      <protection locked="0"/>
    </xf>
    <xf numFmtId="167" fontId="7" fillId="15" borderId="84" xfId="13" applyBorder="1">
      <alignment vertical="center"/>
      <protection locked="0"/>
    </xf>
    <xf numFmtId="3" fontId="7" fillId="15" borderId="84" xfId="13" applyNumberFormat="1" applyFont="1" applyBorder="1">
      <alignment vertical="center"/>
      <protection locked="0"/>
    </xf>
    <xf numFmtId="3" fontId="7" fillId="15" borderId="85" xfId="13" applyNumberFormat="1" applyFont="1" applyBorder="1">
      <alignment vertical="center"/>
      <protection locked="0"/>
    </xf>
    <xf numFmtId="0" fontId="7" fillId="4" borderId="86" xfId="16" applyFont="1" applyBorder="1">
      <alignment horizontal="center" vertical="center"/>
      <protection locked="0"/>
    </xf>
    <xf numFmtId="3" fontId="7" fillId="6" borderId="92" xfId="6" applyNumberFormat="1" applyFont="1" applyBorder="1">
      <alignment vertical="center"/>
      <protection locked="0"/>
    </xf>
    <xf numFmtId="0" fontId="1" fillId="0" borderId="93" xfId="0" applyFont="1" applyFill="1" applyBorder="1"/>
    <xf numFmtId="0" fontId="6" fillId="12" borderId="9" xfId="8" applyFont="1" applyBorder="1" applyAlignment="1">
      <alignment horizontal="right"/>
    </xf>
    <xf numFmtId="166" fontId="11" fillId="6" borderId="6" xfId="6" applyNumberFormat="1" applyFont="1" applyBorder="1">
      <alignment vertical="center"/>
      <protection locked="0"/>
    </xf>
    <xf numFmtId="166" fontId="11" fillId="6" borderId="8" xfId="6" applyNumberFormat="1" applyFont="1" applyBorder="1">
      <alignment vertical="center"/>
      <protection locked="0"/>
    </xf>
    <xf numFmtId="0" fontId="25" fillId="12" borderId="6" xfId="8" applyFont="1" applyBorder="1" applyAlignment="1">
      <alignment horizontal="left"/>
    </xf>
    <xf numFmtId="0" fontId="30" fillId="16" borderId="94" xfId="14" applyFont="1" applyBorder="1" applyAlignment="1">
      <alignment horizontal="right"/>
    </xf>
    <xf numFmtId="168" fontId="30" fillId="16" borderId="95" xfId="14" applyNumberFormat="1" applyFont="1" applyBorder="1" applyAlignment="1">
      <alignment horizontal="right"/>
    </xf>
    <xf numFmtId="0" fontId="25" fillId="12" borderId="8" xfId="8" applyFont="1" applyBorder="1" applyAlignment="1">
      <alignment horizontal="left"/>
    </xf>
    <xf numFmtId="0" fontId="30" fillId="16" borderId="96" xfId="14" applyFont="1" applyBorder="1" applyAlignment="1">
      <alignment horizontal="right"/>
    </xf>
    <xf numFmtId="168" fontId="30" fillId="16" borderId="0" xfId="14" applyNumberFormat="1" applyFont="1" applyBorder="1" applyAlignment="1">
      <alignment horizontal="right"/>
    </xf>
    <xf numFmtId="167" fontId="11" fillId="7" borderId="8" xfId="7" applyNumberFormat="1" applyBorder="1">
      <alignment horizontal="center" vertical="center"/>
      <protection locked="0"/>
    </xf>
    <xf numFmtId="0" fontId="23" fillId="12" borderId="6" xfId="8" applyFont="1" applyBorder="1" applyAlignment="1">
      <alignment horizontal="left"/>
    </xf>
    <xf numFmtId="0" fontId="30" fillId="16" borderId="10" xfId="14" applyFont="1" applyBorder="1" applyAlignment="1">
      <alignment horizontal="right"/>
    </xf>
    <xf numFmtId="172" fontId="11" fillId="16" borderId="9" xfId="14" applyNumberFormat="1" applyFont="1" applyBorder="1" applyAlignment="1">
      <alignment horizontal="center" vertical="center"/>
    </xf>
    <xf numFmtId="0" fontId="23" fillId="12" borderId="7" xfId="8" applyFont="1" applyBorder="1" applyAlignment="1">
      <alignment horizontal="left" indent="1"/>
    </xf>
    <xf numFmtId="167" fontId="23" fillId="5" borderId="10" xfId="5" applyFont="1" applyBorder="1">
      <alignment vertical="center"/>
      <protection locked="0"/>
    </xf>
    <xf numFmtId="168" fontId="31" fillId="16" borderId="0" xfId="14" applyNumberFormat="1" applyFont="1" applyBorder="1" applyAlignment="1"/>
    <xf numFmtId="168" fontId="10" fillId="16" borderId="11" xfId="14" applyNumberFormat="1" applyFont="1" applyBorder="1" applyAlignment="1">
      <alignment vertical="center"/>
    </xf>
    <xf numFmtId="167" fontId="25" fillId="6" borderId="11" xfId="6" applyNumberFormat="1" applyFont="1" applyBorder="1" applyProtection="1">
      <alignment vertical="center"/>
      <protection locked="0"/>
    </xf>
    <xf numFmtId="168" fontId="31" fillId="16" borderId="10" xfId="14" applyNumberFormat="1" applyFont="1" applyBorder="1" applyAlignment="1"/>
    <xf numFmtId="168" fontId="31" fillId="16" borderId="11" xfId="14" applyNumberFormat="1" applyFont="1" applyBorder="1" applyAlignment="1"/>
    <xf numFmtId="168" fontId="31" fillId="16" borderId="0" xfId="14" applyNumberFormat="1" applyFont="1" applyBorder="1" applyAlignment="1">
      <alignment horizontal="right"/>
    </xf>
    <xf numFmtId="167" fontId="23" fillId="6" borderId="11" xfId="6" applyNumberFormat="1" applyFont="1" applyBorder="1" applyProtection="1">
      <alignment vertical="center"/>
      <protection locked="0"/>
    </xf>
    <xf numFmtId="0" fontId="28" fillId="12" borderId="26" xfId="8" applyFont="1" applyBorder="1" applyAlignment="1">
      <alignment horizontal="left" indent="3"/>
    </xf>
    <xf numFmtId="168" fontId="31" fillId="16" borderId="10" xfId="14" applyNumberFormat="1" applyFont="1" applyBorder="1" applyAlignment="1">
      <alignment horizontal="right"/>
    </xf>
    <xf numFmtId="167" fontId="23" fillId="5" borderId="13" xfId="5" applyFont="1" applyBorder="1">
      <alignment vertical="center"/>
      <protection locked="0"/>
    </xf>
    <xf numFmtId="168" fontId="31" fillId="16" borderId="15" xfId="14" applyNumberFormat="1" applyFont="1" applyBorder="1" applyAlignment="1">
      <alignment horizontal="right"/>
    </xf>
    <xf numFmtId="168" fontId="31" fillId="16" borderId="12" xfId="14" applyNumberFormat="1" applyFont="1" applyBorder="1" applyAlignment="1"/>
    <xf numFmtId="0" fontId="37" fillId="0" borderId="0" xfId="0" quotePrefix="1" applyFont="1"/>
    <xf numFmtId="0" fontId="26" fillId="0" borderId="0" xfId="0" applyFont="1" applyFill="1" applyProtection="1"/>
    <xf numFmtId="0" fontId="0" fillId="12" borderId="1" xfId="8" applyFont="1" applyBorder="1" applyAlignment="1"/>
    <xf numFmtId="0" fontId="7" fillId="12" borderId="10" xfId="8" applyFont="1" applyBorder="1" applyAlignment="1"/>
    <xf numFmtId="167" fontId="11" fillId="6" borderId="9" xfId="6" applyNumberFormat="1" applyFont="1" applyBorder="1">
      <alignment vertical="center"/>
      <protection locked="0"/>
    </xf>
    <xf numFmtId="0" fontId="36" fillId="3" borderId="1" xfId="0" applyFont="1" applyFill="1" applyBorder="1" applyAlignment="1">
      <alignment horizontal="centerContinuous"/>
    </xf>
    <xf numFmtId="0" fontId="7" fillId="12" borderId="10" xfId="8" applyFont="1" applyBorder="1" applyAlignment="1">
      <alignment horizontal="left" indent="1"/>
    </xf>
    <xf numFmtId="9" fontId="6" fillId="3" borderId="6" xfId="3" applyNumberFormat="1" applyBorder="1" applyAlignment="1">
      <alignment horizontal="center" vertical="center"/>
    </xf>
    <xf numFmtId="9" fontId="6" fillId="3" borderId="8" xfId="3" applyNumberFormat="1" applyBorder="1" applyAlignment="1">
      <alignment horizontal="center" vertical="center"/>
    </xf>
    <xf numFmtId="0" fontId="7" fillId="12" borderId="13" xfId="8" applyFont="1" applyBorder="1" applyAlignment="1">
      <alignment horizontal="left" indent="1"/>
    </xf>
    <xf numFmtId="167" fontId="7" fillId="5" borderId="13" xfId="5" applyFont="1" applyBorder="1">
      <alignment vertical="center"/>
      <protection locked="0"/>
    </xf>
    <xf numFmtId="167" fontId="7" fillId="6" borderId="12" xfId="6" applyNumberFormat="1" applyFont="1" applyBorder="1" applyProtection="1">
      <alignment vertical="center"/>
      <protection locked="0"/>
    </xf>
    <xf numFmtId="166" fontId="7" fillId="17" borderId="1" xfId="18" applyFont="1" applyBorder="1">
      <alignment vertical="center"/>
      <protection locked="0"/>
    </xf>
    <xf numFmtId="0" fontId="1" fillId="12" borderId="13" xfId="8" applyFont="1" applyBorder="1" applyAlignment="1">
      <alignment horizontal="left" indent="1"/>
    </xf>
    <xf numFmtId="167" fontId="7" fillId="5" borderId="1" xfId="5" applyBorder="1" applyAlignment="1">
      <alignment vertical="center"/>
      <protection locked="0"/>
    </xf>
    <xf numFmtId="0" fontId="4" fillId="12" borderId="3" xfId="8" applyFont="1" applyBorder="1" applyAlignment="1">
      <alignment wrapText="1"/>
    </xf>
    <xf numFmtId="0" fontId="1" fillId="12" borderId="5" xfId="8" applyBorder="1" applyAlignment="1"/>
    <xf numFmtId="0" fontId="9" fillId="12" borderId="1" xfId="8" applyFont="1" applyBorder="1" applyAlignment="1">
      <alignment horizontal="center" vertical="center" wrapText="1"/>
    </xf>
    <xf numFmtId="0" fontId="9" fillId="12" borderId="6" xfId="8" applyFont="1" applyBorder="1" applyAlignment="1">
      <alignment horizontal="center" vertical="center" wrapText="1"/>
    </xf>
    <xf numFmtId="0" fontId="6" fillId="12" borderId="6" xfId="8" applyFont="1" applyBorder="1" applyAlignment="1">
      <alignment vertical="center" wrapText="1"/>
    </xf>
    <xf numFmtId="0" fontId="6" fillId="12" borderId="3" xfId="8" applyFont="1" applyBorder="1" applyAlignment="1">
      <alignment vertical="center" wrapText="1"/>
    </xf>
    <xf numFmtId="0" fontId="55" fillId="12" borderId="3" xfId="8" applyFont="1" applyBorder="1" applyAlignment="1">
      <alignment horizontal="left" vertical="center"/>
    </xf>
    <xf numFmtId="0" fontId="56" fillId="12" borderId="2" xfId="8" applyFont="1" applyBorder="1" applyAlignment="1">
      <alignment horizontal="center" vertical="center"/>
    </xf>
    <xf numFmtId="0" fontId="56" fillId="12" borderId="9" xfId="8" applyFont="1" applyBorder="1" applyAlignment="1">
      <alignment horizontal="center" vertical="center"/>
    </xf>
    <xf numFmtId="0" fontId="1" fillId="12" borderId="13" xfId="8" applyBorder="1" applyAlignment="1"/>
    <xf numFmtId="0" fontId="1" fillId="12" borderId="6" xfId="8" applyBorder="1" applyAlignment="1">
      <alignment horizontal="left"/>
    </xf>
    <xf numFmtId="167" fontId="11" fillId="6" borderId="1" xfId="6" applyNumberFormat="1" applyFont="1" applyBorder="1">
      <alignment vertical="center"/>
      <protection locked="0"/>
    </xf>
    <xf numFmtId="0" fontId="57" fillId="3" borderId="6" xfId="19" quotePrefix="1" applyFill="1" applyBorder="1" applyAlignment="1">
      <alignment horizontal="center" vertical="center"/>
    </xf>
    <xf numFmtId="0" fontId="6" fillId="12" borderId="1" xfId="8" applyFont="1" applyBorder="1" applyAlignment="1"/>
    <xf numFmtId="167" fontId="9" fillId="6" borderId="1" xfId="6" applyNumberFormat="1" applyFont="1" applyBorder="1">
      <alignment vertical="center"/>
      <protection locked="0"/>
    </xf>
    <xf numFmtId="0" fontId="1" fillId="12" borderId="8" xfId="8" applyBorder="1" applyAlignment="1">
      <alignment horizontal="center" vertical="center"/>
    </xf>
    <xf numFmtId="0" fontId="6" fillId="12" borderId="15" xfId="8" applyFont="1" applyBorder="1" applyAlignment="1">
      <alignment horizontal="left" vertical="center"/>
    </xf>
    <xf numFmtId="0" fontId="6" fillId="12" borderId="12" xfId="8" applyFont="1" applyBorder="1" applyAlignment="1">
      <alignment horizontal="left" vertical="center"/>
    </xf>
    <xf numFmtId="0" fontId="1" fillId="12" borderId="7" xfId="8" applyBorder="1" applyAlignment="1">
      <alignment horizontal="left" indent="1"/>
    </xf>
    <xf numFmtId="167" fontId="7" fillId="16" borderId="4" xfId="14" applyNumberFormat="1" applyFont="1" applyBorder="1" applyAlignment="1">
      <alignment vertical="center"/>
    </xf>
    <xf numFmtId="167" fontId="7" fillId="16" borderId="14" xfId="14" applyNumberFormat="1" applyFont="1" applyBorder="1" applyAlignment="1">
      <alignment vertical="center"/>
    </xf>
    <xf numFmtId="0" fontId="57" fillId="3" borderId="7" xfId="19" quotePrefix="1" applyFill="1" applyBorder="1" applyAlignment="1">
      <alignment horizontal="center" vertical="center"/>
    </xf>
    <xf numFmtId="169" fontId="6" fillId="3" borderId="3" xfId="3" applyNumberFormat="1" applyBorder="1">
      <alignment vertical="center"/>
    </xf>
    <xf numFmtId="170" fontId="6" fillId="3" borderId="2" xfId="3" applyNumberFormat="1" applyBorder="1">
      <alignment vertical="center"/>
    </xf>
    <xf numFmtId="170" fontId="6" fillId="3" borderId="9" xfId="3" applyNumberFormat="1" applyBorder="1">
      <alignment vertical="center"/>
    </xf>
    <xf numFmtId="0" fontId="1" fillId="12" borderId="7" xfId="8" applyBorder="1" applyAlignment="1">
      <alignment horizontal="left" indent="2"/>
    </xf>
    <xf numFmtId="0" fontId="6" fillId="12" borderId="7" xfId="8" applyFont="1" applyBorder="1" applyAlignment="1">
      <alignment horizontal="left" vertical="center" indent="1"/>
    </xf>
    <xf numFmtId="167" fontId="9" fillId="6" borderId="7" xfId="6" applyNumberFormat="1" applyFont="1" applyBorder="1" applyProtection="1">
      <alignment vertical="center"/>
      <protection locked="0"/>
    </xf>
    <xf numFmtId="170" fontId="6" fillId="3" borderId="10" xfId="3" applyNumberFormat="1" applyBorder="1">
      <alignment vertical="center"/>
    </xf>
    <xf numFmtId="166" fontId="6" fillId="3" borderId="3" xfId="3" applyBorder="1">
      <alignment vertical="center"/>
    </xf>
    <xf numFmtId="166" fontId="6" fillId="3" borderId="2" xfId="3" applyNumberFormat="1" applyBorder="1">
      <alignment vertical="center"/>
    </xf>
    <xf numFmtId="166" fontId="6" fillId="3" borderId="9" xfId="3" applyNumberFormat="1" applyBorder="1">
      <alignment vertical="center"/>
    </xf>
    <xf numFmtId="167" fontId="7" fillId="5" borderId="4" xfId="5" applyBorder="1" applyAlignment="1">
      <alignment vertical="center"/>
      <protection locked="0"/>
    </xf>
    <xf numFmtId="166" fontId="6" fillId="3" borderId="10" xfId="3" applyBorder="1">
      <alignment vertical="center"/>
    </xf>
    <xf numFmtId="166" fontId="6" fillId="3" borderId="0" xfId="3" applyBorder="1">
      <alignment vertical="center"/>
    </xf>
    <xf numFmtId="166" fontId="6" fillId="3" borderId="0" xfId="3" applyNumberFormat="1" applyBorder="1">
      <alignment vertical="center"/>
    </xf>
    <xf numFmtId="166" fontId="6" fillId="3" borderId="11" xfId="3" applyNumberFormat="1" applyBorder="1">
      <alignment vertical="center"/>
    </xf>
    <xf numFmtId="170" fontId="6" fillId="12" borderId="7" xfId="8" applyNumberFormat="1" applyFont="1" applyBorder="1" applyAlignment="1">
      <alignment horizontal="left" vertical="center" indent="1"/>
    </xf>
    <xf numFmtId="0" fontId="6" fillId="12" borderId="8" xfId="8" applyFont="1" applyBorder="1" applyAlignment="1">
      <alignment horizontal="left" vertical="center" indent="1"/>
    </xf>
    <xf numFmtId="167" fontId="9" fillId="6" borderId="8" xfId="6" applyNumberFormat="1" applyFont="1" applyBorder="1" applyProtection="1">
      <alignment vertical="center"/>
      <protection locked="0"/>
    </xf>
    <xf numFmtId="170" fontId="6" fillId="3" borderId="13" xfId="3" applyNumberFormat="1" applyBorder="1">
      <alignment vertical="center"/>
    </xf>
    <xf numFmtId="166" fontId="6" fillId="3" borderId="13" xfId="3" applyBorder="1">
      <alignment vertical="center"/>
    </xf>
    <xf numFmtId="166" fontId="6" fillId="3" borderId="15" xfId="3" applyBorder="1">
      <alignment vertical="center"/>
    </xf>
    <xf numFmtId="166" fontId="6" fillId="3" borderId="12" xfId="3" applyBorder="1">
      <alignment vertical="center"/>
    </xf>
    <xf numFmtId="0" fontId="1" fillId="12" borderId="8" xfId="8" applyBorder="1" applyAlignment="1">
      <alignment horizontal="left" indent="1"/>
    </xf>
    <xf numFmtId="0" fontId="57" fillId="3" borderId="8" xfId="19" quotePrefix="1" applyFill="1" applyBorder="1" applyAlignment="1">
      <alignment horizontal="center" vertical="center"/>
    </xf>
    <xf numFmtId="0" fontId="0" fillId="13" borderId="0" xfId="0" applyFill="1" applyAlignment="1">
      <alignment horizontal="center" vertical="center"/>
    </xf>
    <xf numFmtId="170" fontId="31" fillId="0" borderId="0" xfId="0" applyNumberFormat="1" applyFont="1" applyFill="1" applyBorder="1" applyAlignment="1">
      <alignment horizontal="center"/>
    </xf>
    <xf numFmtId="170" fontId="31" fillId="0" borderId="0" xfId="0" applyNumberFormat="1" applyFont="1" applyFill="1" applyBorder="1" applyAlignment="1">
      <alignment horizontal="right" vertical="center"/>
    </xf>
    <xf numFmtId="166" fontId="6" fillId="0" borderId="0" xfId="18" applyFont="1" applyFill="1" applyBorder="1">
      <alignment vertical="center"/>
      <protection locked="0"/>
    </xf>
    <xf numFmtId="0" fontId="0" fillId="0" borderId="0" xfId="0" applyFill="1"/>
    <xf numFmtId="0" fontId="0" fillId="0" borderId="0" xfId="0" applyFill="1" applyAlignment="1">
      <alignment horizontal="right"/>
    </xf>
    <xf numFmtId="9" fontId="2" fillId="0" borderId="0" xfId="1" applyNumberFormat="1" applyFill="1"/>
    <xf numFmtId="170" fontId="31" fillId="0" borderId="0" xfId="0" applyNumberFormat="1" applyFont="1" applyFill="1" applyBorder="1" applyAlignment="1">
      <alignment horizontal="center" vertical="center"/>
    </xf>
    <xf numFmtId="0" fontId="1" fillId="12" borderId="3" xfId="8" applyBorder="1" applyAlignment="1"/>
    <xf numFmtId="0" fontId="1" fillId="12" borderId="2" xfId="8" applyBorder="1" applyAlignment="1"/>
    <xf numFmtId="0" fontId="1" fillId="12" borderId="0" xfId="8" applyBorder="1" applyAlignment="1"/>
    <xf numFmtId="0" fontId="9" fillId="12" borderId="1" xfId="8" applyFont="1" applyBorder="1" applyAlignment="1">
      <alignment horizontal="left"/>
    </xf>
    <xf numFmtId="0" fontId="0" fillId="12" borderId="4" xfId="8" applyFont="1" applyBorder="1" applyAlignment="1">
      <alignment horizontal="centerContinuous"/>
    </xf>
    <xf numFmtId="0" fontId="0" fillId="12" borderId="14" xfId="8" applyFont="1" applyBorder="1" applyAlignment="1">
      <alignment horizontal="centerContinuous"/>
    </xf>
    <xf numFmtId="0" fontId="0" fillId="12" borderId="5" xfId="8" applyFont="1" applyBorder="1" applyAlignment="1">
      <alignment horizontal="centerContinuous"/>
    </xf>
    <xf numFmtId="0" fontId="6" fillId="3" borderId="4" xfId="3" applyNumberFormat="1" applyBorder="1">
      <alignment vertical="center"/>
    </xf>
    <xf numFmtId="0" fontId="6" fillId="3" borderId="14" xfId="3" applyNumberFormat="1" applyBorder="1">
      <alignment vertical="center"/>
    </xf>
    <xf numFmtId="0" fontId="6" fillId="3" borderId="5" xfId="3" applyNumberFormat="1" applyBorder="1" applyAlignment="1">
      <alignment horizontal="right" vertical="center"/>
    </xf>
    <xf numFmtId="0" fontId="6" fillId="3" borderId="3" xfId="3" applyNumberFormat="1" applyBorder="1">
      <alignment vertical="center"/>
    </xf>
    <xf numFmtId="0" fontId="6" fillId="3" borderId="5" xfId="3" applyNumberFormat="1" applyBorder="1">
      <alignment vertical="center"/>
    </xf>
    <xf numFmtId="0" fontId="0" fillId="0" borderId="0" xfId="0" applyFill="1" applyBorder="1"/>
    <xf numFmtId="0" fontId="1" fillId="12" borderId="10" xfId="8" applyBorder="1" applyAlignment="1"/>
    <xf numFmtId="0" fontId="7" fillId="12" borderId="4" xfId="8" applyFont="1" applyBorder="1" applyAlignment="1">
      <alignment horizontal="center"/>
    </xf>
    <xf numFmtId="0" fontId="7" fillId="12" borderId="1" xfId="8" applyFont="1" applyBorder="1" applyAlignment="1">
      <alignment horizontal="center"/>
    </xf>
    <xf numFmtId="0" fontId="6" fillId="12" borderId="6" xfId="8" applyFont="1" applyBorder="1" applyAlignment="1">
      <alignment horizontal="center"/>
    </xf>
    <xf numFmtId="0" fontId="6" fillId="12" borderId="4" xfId="8" applyFont="1" applyBorder="1" applyAlignment="1">
      <alignment horizontal="left" vertical="center"/>
    </xf>
    <xf numFmtId="0" fontId="6" fillId="12" borderId="14" xfId="8" applyFont="1" applyBorder="1" applyAlignment="1">
      <alignment horizontal="left" vertical="center"/>
    </xf>
    <xf numFmtId="0" fontId="6" fillId="12" borderId="5" xfId="8" applyFont="1" applyBorder="1" applyAlignment="1">
      <alignment horizontal="left" vertical="center"/>
    </xf>
    <xf numFmtId="0" fontId="6" fillId="3" borderId="13" xfId="3" applyNumberFormat="1" applyBorder="1">
      <alignment vertical="center"/>
    </xf>
    <xf numFmtId="170" fontId="6" fillId="3" borderId="12" xfId="3" applyNumberFormat="1" applyBorder="1">
      <alignment vertical="center"/>
    </xf>
    <xf numFmtId="0" fontId="36" fillId="3" borderId="3" xfId="0" applyFont="1" applyFill="1" applyBorder="1" applyAlignment="1">
      <alignment horizontal="centerContinuous"/>
    </xf>
    <xf numFmtId="0" fontId="36" fillId="3" borderId="2" xfId="0" applyFont="1" applyFill="1" applyBorder="1" applyAlignment="1">
      <alignment horizontal="centerContinuous"/>
    </xf>
    <xf numFmtId="0" fontId="36" fillId="3" borderId="9" xfId="0" applyFont="1" applyFill="1" applyBorder="1" applyAlignment="1">
      <alignment horizontal="centerContinuous"/>
    </xf>
    <xf numFmtId="3" fontId="6" fillId="3" borderId="6" xfId="3" applyNumberFormat="1" applyBorder="1" applyAlignment="1">
      <alignment horizontal="center" vertical="center"/>
    </xf>
    <xf numFmtId="170" fontId="31" fillId="3" borderId="0" xfId="0" applyNumberFormat="1" applyFont="1" applyFill="1" applyBorder="1" applyAlignment="1">
      <alignment horizontal="center" vertical="center"/>
    </xf>
    <xf numFmtId="170" fontId="31" fillId="3" borderId="11" xfId="0" applyNumberFormat="1" applyFont="1" applyFill="1" applyBorder="1" applyAlignment="1">
      <alignment horizontal="center" vertical="center"/>
    </xf>
    <xf numFmtId="0" fontId="6" fillId="3" borderId="4" xfId="3" applyNumberFormat="1" applyBorder="1" applyAlignment="1">
      <alignment horizontal="right" vertical="center"/>
    </xf>
    <xf numFmtId="170" fontId="31" fillId="3" borderId="2" xfId="0" applyNumberFormat="1" applyFont="1" applyFill="1" applyBorder="1" applyAlignment="1">
      <alignment horizontal="center" vertical="center"/>
    </xf>
    <xf numFmtId="170" fontId="31" fillId="3" borderId="9" xfId="0" applyNumberFormat="1" applyFont="1" applyFill="1" applyBorder="1" applyAlignment="1">
      <alignment horizontal="center" vertical="center"/>
    </xf>
    <xf numFmtId="0" fontId="1" fillId="12" borderId="10" xfId="8" applyBorder="1" applyAlignment="1">
      <alignment horizontal="left" indent="1"/>
    </xf>
    <xf numFmtId="167" fontId="7" fillId="6" borderId="97" xfId="6" applyNumberFormat="1" applyFont="1" applyBorder="1" applyProtection="1">
      <alignment vertical="center"/>
      <protection locked="0"/>
    </xf>
    <xf numFmtId="167" fontId="7" fillId="6" borderId="3" xfId="6" applyNumberFormat="1" applyFont="1" applyBorder="1">
      <alignment vertical="center"/>
      <protection locked="0"/>
    </xf>
    <xf numFmtId="0" fontId="57" fillId="3" borderId="3" xfId="19" quotePrefix="1" applyFill="1" applyBorder="1" applyAlignment="1">
      <alignment horizontal="center"/>
    </xf>
    <xf numFmtId="0" fontId="0" fillId="16" borderId="9" xfId="14" applyFont="1" applyBorder="1"/>
    <xf numFmtId="3" fontId="6" fillId="3" borderId="7" xfId="3" applyNumberFormat="1" applyBorder="1" applyAlignment="1">
      <alignment horizontal="center" vertical="center"/>
    </xf>
    <xf numFmtId="9" fontId="6" fillId="3" borderId="7" xfId="3" applyNumberFormat="1" applyBorder="1" applyAlignment="1">
      <alignment horizontal="center" vertical="center"/>
    </xf>
    <xf numFmtId="170" fontId="31" fillId="3" borderId="10" xfId="0" applyNumberFormat="1" applyFont="1" applyFill="1" applyBorder="1" applyAlignment="1">
      <alignment horizontal="center"/>
    </xf>
    <xf numFmtId="0" fontId="6" fillId="12" borderId="3" xfId="8" applyFont="1" applyBorder="1" applyAlignment="1">
      <alignment vertical="center"/>
    </xf>
    <xf numFmtId="166" fontId="6" fillId="3" borderId="6" xfId="3" applyNumberFormat="1" applyBorder="1">
      <alignment vertical="center"/>
    </xf>
    <xf numFmtId="167" fontId="7" fillId="6" borderId="10" xfId="6" applyNumberFormat="1" applyFont="1" applyBorder="1">
      <alignment vertical="center"/>
      <protection locked="0"/>
    </xf>
    <xf numFmtId="0" fontId="57" fillId="3" borderId="10" xfId="19" quotePrefix="1" applyFill="1" applyBorder="1" applyAlignment="1">
      <alignment horizontal="center"/>
    </xf>
    <xf numFmtId="0" fontId="57" fillId="3" borderId="0" xfId="19" quotePrefix="1" applyFill="1" applyBorder="1" applyAlignment="1">
      <alignment horizontal="center"/>
    </xf>
    <xf numFmtId="0" fontId="6" fillId="12" borderId="10" xfId="8" applyFont="1" applyBorder="1" applyAlignment="1">
      <alignment vertical="center"/>
    </xf>
    <xf numFmtId="166" fontId="6" fillId="3" borderId="7" xfId="3" applyNumberFormat="1" applyBorder="1">
      <alignment vertical="center"/>
    </xf>
    <xf numFmtId="170" fontId="31" fillId="3" borderId="13" xfId="0" applyNumberFormat="1" applyFont="1" applyFill="1" applyBorder="1" applyAlignment="1">
      <alignment horizontal="center"/>
    </xf>
    <xf numFmtId="0" fontId="57" fillId="3" borderId="11" xfId="19" quotePrefix="1" applyFill="1" applyBorder="1" applyAlignment="1">
      <alignment horizontal="center"/>
    </xf>
    <xf numFmtId="0" fontId="1" fillId="12" borderId="13" xfId="8" applyBorder="1" applyAlignment="1">
      <alignment horizontal="left" indent="1"/>
    </xf>
    <xf numFmtId="167" fontId="7" fillId="6" borderId="98" xfId="6" applyNumberFormat="1" applyFont="1" applyBorder="1" applyProtection="1">
      <alignment vertical="center"/>
      <protection locked="0"/>
    </xf>
    <xf numFmtId="167" fontId="7" fillId="6" borderId="13" xfId="6" applyNumberFormat="1" applyFont="1" applyBorder="1">
      <alignment vertical="center"/>
      <protection locked="0"/>
    </xf>
    <xf numFmtId="0" fontId="57" fillId="3" borderId="13" xfId="19" quotePrefix="1" applyFill="1" applyBorder="1" applyAlignment="1">
      <alignment horizontal="center"/>
    </xf>
    <xf numFmtId="0" fontId="6" fillId="12" borderId="13" xfId="8" applyFont="1" applyBorder="1" applyAlignment="1">
      <alignment vertical="center"/>
    </xf>
    <xf numFmtId="166" fontId="6" fillId="3" borderId="8" xfId="3" applyNumberFormat="1" applyBorder="1">
      <alignment vertical="center"/>
    </xf>
    <xf numFmtId="166" fontId="6" fillId="0" borderId="0" xfId="0" applyNumberFormat="1" applyFont="1" applyFill="1" applyBorder="1" applyAlignment="1" applyProtection="1">
      <alignment vertical="center"/>
      <protection locked="0"/>
    </xf>
    <xf numFmtId="3" fontId="6" fillId="3" borderId="8" xfId="3" applyNumberFormat="1" applyBorder="1" applyAlignment="1">
      <alignment horizontal="center" vertical="center"/>
    </xf>
    <xf numFmtId="0" fontId="0" fillId="12" borderId="3" xfId="8" applyFont="1" applyBorder="1" applyAlignment="1">
      <alignment horizontal="center"/>
    </xf>
    <xf numFmtId="0" fontId="1" fillId="12" borderId="9" xfId="8" applyBorder="1" applyAlignment="1"/>
    <xf numFmtId="0" fontId="7" fillId="12" borderId="6" xfId="8" applyFont="1" applyBorder="1" applyAlignment="1">
      <alignment horizontal="centerContinuous"/>
    </xf>
    <xf numFmtId="0" fontId="9" fillId="12" borderId="4" xfId="8" applyFont="1" applyBorder="1" applyAlignment="1">
      <alignment horizontal="centerContinuous"/>
    </xf>
    <xf numFmtId="0" fontId="9" fillId="12" borderId="14" xfId="8" applyFont="1" applyBorder="1" applyAlignment="1">
      <alignment horizontal="centerContinuous"/>
    </xf>
    <xf numFmtId="0" fontId="9" fillId="12" borderId="5" xfId="8" applyFont="1" applyBorder="1" applyAlignment="1">
      <alignment horizontal="centerContinuous"/>
    </xf>
    <xf numFmtId="0" fontId="7" fillId="12" borderId="5" xfId="8" applyFont="1" applyBorder="1" applyAlignment="1">
      <alignment horizontal="centerContinuous" wrapText="1"/>
    </xf>
    <xf numFmtId="0" fontId="1" fillId="12" borderId="5" xfId="8" applyBorder="1" applyAlignment="1">
      <alignment horizontal="centerContinuous" wrapText="1"/>
    </xf>
    <xf numFmtId="0" fontId="7" fillId="12" borderId="3" xfId="8" applyFont="1" applyBorder="1" applyAlignment="1">
      <alignment horizontal="center" wrapText="1"/>
    </xf>
    <xf numFmtId="0" fontId="7" fillId="12" borderId="14" xfId="8" applyFont="1" applyBorder="1" applyAlignment="1">
      <alignment horizontal="centerContinuous" wrapText="1"/>
    </xf>
    <xf numFmtId="0" fontId="7" fillId="12" borderId="4" xfId="8" applyFont="1" applyBorder="1" applyAlignment="1">
      <alignment horizontal="centerContinuous" wrapText="1"/>
    </xf>
    <xf numFmtId="0" fontId="4" fillId="12" borderId="10" xfId="8" applyFont="1" applyBorder="1" applyAlignment="1">
      <alignment horizontal="center"/>
    </xf>
    <xf numFmtId="0" fontId="1" fillId="12" borderId="12" xfId="8" applyBorder="1" applyAlignment="1"/>
    <xf numFmtId="0" fontId="9" fillId="12" borderId="8" xfId="8" applyFont="1" applyBorder="1" applyAlignment="1">
      <alignment horizontal="center"/>
    </xf>
    <xf numFmtId="0" fontId="9" fillId="12" borderId="1" xfId="8" applyFont="1" applyBorder="1" applyAlignment="1">
      <alignment horizontal="center"/>
    </xf>
    <xf numFmtId="0" fontId="7" fillId="12" borderId="8" xfId="8" applyFont="1" applyBorder="1" applyAlignment="1">
      <alignment horizontal="center" wrapText="1"/>
    </xf>
    <xf numFmtId="0" fontId="6" fillId="12" borderId="1" xfId="8" applyFont="1" applyBorder="1" applyAlignment="1">
      <alignment horizontal="center"/>
    </xf>
    <xf numFmtId="0" fontId="6" fillId="12" borderId="7" xfId="8" applyFont="1" applyBorder="1" applyAlignment="1">
      <alignment horizontal="center"/>
    </xf>
    <xf numFmtId="170" fontId="21" fillId="3" borderId="6" xfId="11" applyBorder="1">
      <alignment horizontal="center" vertical="center"/>
    </xf>
    <xf numFmtId="167" fontId="7" fillId="6" borderId="99" xfId="6" applyNumberFormat="1" applyFont="1" applyBorder="1" applyProtection="1">
      <alignment vertical="center"/>
      <protection locked="0"/>
    </xf>
    <xf numFmtId="167" fontId="6" fillId="3" borderId="100" xfId="3" applyNumberFormat="1" applyBorder="1">
      <alignment vertical="center"/>
    </xf>
    <xf numFmtId="9" fontId="6" fillId="3" borderId="99" xfId="3" applyNumberFormat="1" applyBorder="1" applyAlignment="1">
      <alignment horizontal="center" vertical="center"/>
    </xf>
    <xf numFmtId="3" fontId="6" fillId="3" borderId="97" xfId="3" applyNumberFormat="1" applyBorder="1" applyAlignment="1">
      <alignment horizontal="center" vertical="center"/>
    </xf>
    <xf numFmtId="167" fontId="6" fillId="3" borderId="101" xfId="3" applyNumberFormat="1" applyBorder="1">
      <alignment vertical="center"/>
    </xf>
    <xf numFmtId="9" fontId="6" fillId="3" borderId="97" xfId="3" applyNumberFormat="1" applyBorder="1" applyAlignment="1">
      <alignment horizontal="center" vertical="center"/>
    </xf>
    <xf numFmtId="9" fontId="6" fillId="3" borderId="102" xfId="3" applyNumberFormat="1" applyBorder="1" applyAlignment="1">
      <alignment horizontal="center" vertical="center"/>
    </xf>
    <xf numFmtId="167" fontId="6" fillId="3" borderId="103" xfId="3" applyNumberFormat="1" applyBorder="1">
      <alignment vertical="center"/>
    </xf>
    <xf numFmtId="9" fontId="6" fillId="3" borderId="98" xfId="3" applyNumberFormat="1" applyBorder="1" applyAlignment="1">
      <alignment horizontal="center" vertical="center"/>
    </xf>
    <xf numFmtId="9" fontId="6" fillId="3" borderId="104" xfId="3" applyNumberFormat="1" applyBorder="1" applyAlignment="1">
      <alignment horizontal="center" vertical="center"/>
    </xf>
    <xf numFmtId="3" fontId="6" fillId="3" borderId="98" xfId="3" applyNumberFormat="1" applyBorder="1" applyAlignment="1">
      <alignment horizontal="center" vertical="center"/>
    </xf>
    <xf numFmtId="0" fontId="1" fillId="12" borderId="3" xfId="8" applyBorder="1" applyAlignment="1">
      <alignment horizontal="center"/>
    </xf>
    <xf numFmtId="167" fontId="7" fillId="4" borderId="97" xfId="4" applyBorder="1">
      <alignment vertical="center"/>
      <protection locked="0"/>
    </xf>
    <xf numFmtId="166" fontId="2" fillId="0" borderId="0" xfId="1" applyNumberFormat="1" applyFill="1" applyBorder="1" applyAlignment="1" applyProtection="1">
      <alignment vertical="center"/>
      <protection locked="0"/>
    </xf>
    <xf numFmtId="167" fontId="7" fillId="4" borderId="98" xfId="4" applyBorder="1">
      <alignment vertical="center"/>
      <protection locked="0"/>
    </xf>
    <xf numFmtId="167" fontId="7" fillId="4" borderId="99" xfId="4" applyBorder="1">
      <alignment vertical="center"/>
      <protection locked="0"/>
    </xf>
    <xf numFmtId="9" fontId="6" fillId="3" borderId="105" xfId="3" applyNumberFormat="1" applyBorder="1" applyAlignment="1">
      <alignment horizontal="center" vertical="center"/>
    </xf>
    <xf numFmtId="0" fontId="58" fillId="12" borderId="12" xfId="8" applyFont="1" applyBorder="1" applyAlignment="1">
      <alignment horizontal="center" vertical="center"/>
    </xf>
    <xf numFmtId="166" fontId="6" fillId="3" borderId="99" xfId="3" applyNumberFormat="1" applyBorder="1">
      <alignment vertical="center"/>
    </xf>
    <xf numFmtId="166" fontId="6" fillId="3" borderId="105" xfId="3" applyNumberFormat="1" applyBorder="1">
      <alignment vertical="center"/>
    </xf>
    <xf numFmtId="166" fontId="6" fillId="3" borderId="97" xfId="3" applyNumberFormat="1" applyBorder="1">
      <alignment vertical="center"/>
    </xf>
    <xf numFmtId="166" fontId="6" fillId="3" borderId="102" xfId="3" applyNumberFormat="1" applyBorder="1">
      <alignment vertical="center"/>
    </xf>
    <xf numFmtId="166" fontId="6" fillId="3" borderId="98" xfId="3" applyNumberFormat="1" applyBorder="1">
      <alignment vertical="center"/>
    </xf>
    <xf numFmtId="166" fontId="6" fillId="3" borderId="104" xfId="3" applyNumberFormat="1" applyBorder="1">
      <alignment vertical="center"/>
    </xf>
    <xf numFmtId="167" fontId="6" fillId="3" borderId="7" xfId="3" applyNumberFormat="1" applyBorder="1">
      <alignment vertical="center"/>
    </xf>
    <xf numFmtId="167" fontId="6" fillId="3" borderId="8" xfId="3" applyNumberFormat="1" applyBorder="1">
      <alignment vertical="center"/>
    </xf>
    <xf numFmtId="0" fontId="0" fillId="12" borderId="1" xfId="8" applyFont="1" applyBorder="1" applyAlignment="1">
      <alignment horizontal="center" wrapText="1"/>
    </xf>
    <xf numFmtId="0" fontId="4" fillId="12" borderId="10" xfId="8" applyFont="1" applyBorder="1" applyAlignment="1">
      <alignment vertical="center" wrapText="1"/>
    </xf>
    <xf numFmtId="0" fontId="6" fillId="0" borderId="0" xfId="2" applyFont="1" applyAlignment="1">
      <alignment horizontal="right"/>
    </xf>
    <xf numFmtId="167" fontId="7" fillId="6" borderId="11" xfId="6" applyNumberFormat="1" applyFont="1" applyBorder="1" applyProtection="1">
      <alignment vertical="center"/>
      <protection locked="0"/>
    </xf>
    <xf numFmtId="0" fontId="0" fillId="0" borderId="0" xfId="0" applyAlignment="1">
      <alignment horizontal="left"/>
    </xf>
    <xf numFmtId="0" fontId="59" fillId="12" borderId="3" xfId="8" applyFont="1" applyBorder="1" applyAlignment="1"/>
    <xf numFmtId="0" fontId="1" fillId="12" borderId="14" xfId="8" applyBorder="1" applyAlignment="1">
      <alignment horizontal="centerContinuous"/>
    </xf>
    <xf numFmtId="0" fontId="1" fillId="12" borderId="5" xfId="8" applyBorder="1" applyAlignment="1">
      <alignment horizontal="centerContinuous"/>
    </xf>
    <xf numFmtId="0" fontId="40" fillId="12" borderId="10" xfId="8" applyFont="1" applyBorder="1" applyAlignment="1"/>
    <xf numFmtId="0" fontId="1" fillId="12" borderId="11" xfId="8" applyBorder="1" applyAlignment="1">
      <alignment horizontal="center" wrapText="1"/>
    </xf>
    <xf numFmtId="0" fontId="1" fillId="12" borderId="5" xfId="8" applyBorder="1" applyAlignment="1">
      <alignment horizontal="centerContinuous" vertical="center" wrapText="1"/>
    </xf>
    <xf numFmtId="0" fontId="1" fillId="12" borderId="1" xfId="8" applyBorder="1" applyAlignment="1">
      <alignment horizontal="centerContinuous" vertical="center" wrapText="1"/>
    </xf>
    <xf numFmtId="0" fontId="0" fillId="12" borderId="1" xfId="8" applyFont="1" applyBorder="1" applyAlignment="1">
      <alignment horizontal="centerContinuous" vertical="center" wrapText="1"/>
    </xf>
    <xf numFmtId="0" fontId="1" fillId="12" borderId="10" xfId="8" applyBorder="1" applyAlignment="1">
      <alignment horizontal="center" wrapText="1"/>
    </xf>
    <xf numFmtId="0" fontId="0" fillId="12" borderId="1" xfId="8" applyFont="1" applyBorder="1" applyAlignment="1">
      <alignment horizontal="center" vertical="center" textRotation="90" wrapText="1"/>
    </xf>
    <xf numFmtId="0" fontId="4" fillId="12" borderId="1" xfId="8" applyFont="1" applyBorder="1" applyAlignment="1">
      <alignment horizontal="center" vertical="center" wrapText="1"/>
    </xf>
    <xf numFmtId="0" fontId="1" fillId="12" borderId="5" xfId="8" applyBorder="1" applyAlignment="1">
      <alignment horizontal="center" vertical="center" wrapText="1"/>
    </xf>
    <xf numFmtId="0" fontId="1" fillId="12" borderId="1" xfId="8" applyBorder="1" applyAlignment="1">
      <alignment horizontal="center" vertical="center" wrapText="1"/>
    </xf>
    <xf numFmtId="0" fontId="1" fillId="12" borderId="8" xfId="8" applyBorder="1" applyAlignment="1">
      <alignment horizontal="left" wrapText="1"/>
    </xf>
    <xf numFmtId="0" fontId="0" fillId="12" borderId="6" xfId="8" applyFont="1" applyBorder="1" applyAlignment="1">
      <alignment horizontal="left" wrapText="1"/>
    </xf>
    <xf numFmtId="0" fontId="7" fillId="12" borderId="6" xfId="8" applyFont="1" applyBorder="1" applyAlignment="1">
      <alignment horizontal="left" wrapText="1"/>
    </xf>
    <xf numFmtId="167" fontId="7" fillId="16" borderId="5" xfId="14" applyNumberFormat="1" applyFont="1" applyBorder="1" applyAlignment="1">
      <alignment vertical="center"/>
    </xf>
    <xf numFmtId="0" fontId="1" fillId="12" borderId="106" xfId="8" applyBorder="1" applyAlignment="1">
      <alignment horizontal="center"/>
    </xf>
    <xf numFmtId="167" fontId="7" fillId="4" borderId="90" xfId="4" applyBorder="1">
      <alignment vertical="center"/>
      <protection locked="0"/>
    </xf>
    <xf numFmtId="0" fontId="1" fillId="12" borderId="91" xfId="8" applyBorder="1" applyAlignment="1">
      <alignment horizontal="center"/>
    </xf>
    <xf numFmtId="167" fontId="7" fillId="4" borderId="91" xfId="4" applyBorder="1">
      <alignment vertical="center"/>
      <protection locked="0"/>
    </xf>
    <xf numFmtId="0" fontId="1" fillId="12" borderId="92" xfId="8" applyBorder="1" applyAlignment="1">
      <alignment horizontal="center"/>
    </xf>
    <xf numFmtId="167" fontId="7" fillId="4" borderId="92" xfId="4" applyBorder="1">
      <alignment vertical="center"/>
      <protection locked="0"/>
    </xf>
    <xf numFmtId="0" fontId="1" fillId="12" borderId="90" xfId="8" applyBorder="1" applyAlignment="1">
      <alignment horizontal="center"/>
    </xf>
    <xf numFmtId="0" fontId="1" fillId="12" borderId="4" xfId="8" applyBorder="1" applyAlignment="1">
      <alignment horizontal="centerContinuous"/>
    </xf>
    <xf numFmtId="0" fontId="59" fillId="12" borderId="10" xfId="8" applyFont="1" applyBorder="1" applyAlignment="1"/>
    <xf numFmtId="0" fontId="0" fillId="12" borderId="8" xfId="8" applyFont="1" applyBorder="1" applyAlignment="1">
      <alignment horizontal="center" vertical="center" wrapText="1"/>
    </xf>
    <xf numFmtId="0" fontId="0" fillId="12" borderId="12" xfId="8" applyFont="1" applyBorder="1" applyAlignment="1">
      <alignment horizontal="centerContinuous" vertical="center" wrapText="1"/>
    </xf>
    <xf numFmtId="0" fontId="1" fillId="12" borderId="8" xfId="8" applyBorder="1" applyAlignment="1">
      <alignment horizontal="centerContinuous" vertical="center" wrapText="1"/>
    </xf>
    <xf numFmtId="0" fontId="0" fillId="12" borderId="8" xfId="8" applyFont="1" applyBorder="1" applyAlignment="1">
      <alignment horizontal="centerContinuous" vertical="center" wrapText="1"/>
    </xf>
    <xf numFmtId="0" fontId="40" fillId="12" borderId="3" xfId="8" applyFont="1" applyBorder="1" applyAlignment="1">
      <alignment horizontal="center" vertical="center" wrapText="1"/>
    </xf>
    <xf numFmtId="0" fontId="1" fillId="12" borderId="9" xfId="8" applyBorder="1" applyAlignment="1">
      <alignment horizontal="center" vertical="center" wrapText="1"/>
    </xf>
    <xf numFmtId="0" fontId="0" fillId="12" borderId="5" xfId="8" applyFont="1" applyBorder="1" applyAlignment="1">
      <alignment horizontal="center" vertical="center" wrapText="1"/>
    </xf>
    <xf numFmtId="0" fontId="1" fillId="12" borderId="13" xfId="8" applyBorder="1" applyAlignment="1">
      <alignment horizontal="center" vertical="center" wrapText="1"/>
    </xf>
    <xf numFmtId="0" fontId="4" fillId="12" borderId="3" xfId="8" applyFont="1" applyBorder="1" applyAlignment="1">
      <alignment horizontal="left"/>
    </xf>
    <xf numFmtId="0" fontId="0" fillId="16" borderId="6" xfId="14" applyFont="1" applyBorder="1"/>
    <xf numFmtId="0" fontId="0" fillId="12" borderId="10" xfId="8" applyFont="1" applyBorder="1" applyAlignment="1">
      <alignment horizontal="left" wrapText="1" indent="1"/>
    </xf>
    <xf numFmtId="0" fontId="27" fillId="12" borderId="10" xfId="8" applyFont="1" applyBorder="1" applyAlignment="1">
      <alignment horizontal="left" wrapText="1" indent="1"/>
    </xf>
    <xf numFmtId="0" fontId="0" fillId="12" borderId="13" xfId="8" applyFont="1" applyBorder="1" applyAlignment="1">
      <alignment horizontal="left" wrapText="1" indent="1"/>
    </xf>
    <xf numFmtId="167" fontId="7" fillId="6" borderId="5" xfId="6" applyNumberFormat="1" applyFont="1" applyBorder="1" applyProtection="1">
      <alignment vertical="center"/>
      <protection locked="0"/>
    </xf>
    <xf numFmtId="0" fontId="11" fillId="12" borderId="3" xfId="8" applyFont="1" applyBorder="1" applyAlignment="1">
      <alignment wrapText="1"/>
    </xf>
    <xf numFmtId="0" fontId="0" fillId="12" borderId="10" xfId="8" applyFont="1" applyBorder="1" applyAlignment="1">
      <alignment vertical="center" wrapText="1"/>
    </xf>
    <xf numFmtId="0" fontId="60" fillId="12" borderId="0" xfId="8" applyFont="1" applyBorder="1" applyAlignment="1">
      <alignment horizontal="right"/>
    </xf>
    <xf numFmtId="0" fontId="57" fillId="12" borderId="7" xfId="19" quotePrefix="1" applyFill="1" applyBorder="1" applyAlignment="1">
      <alignment horizontal="center"/>
    </xf>
    <xf numFmtId="0" fontId="9" fillId="12" borderId="6" xfId="8" applyFont="1" applyBorder="1" applyAlignment="1">
      <alignment horizontal="center" vertical="center"/>
    </xf>
    <xf numFmtId="0" fontId="9" fillId="12" borderId="8" xfId="8" applyFont="1" applyBorder="1" applyAlignment="1">
      <alignment horizontal="center" vertical="center"/>
    </xf>
    <xf numFmtId="170" fontId="6" fillId="3" borderId="2" xfId="3" applyNumberFormat="1" applyBorder="1" applyAlignment="1">
      <alignment horizontal="center" vertical="center"/>
    </xf>
    <xf numFmtId="170" fontId="6" fillId="3" borderId="9" xfId="3" applyNumberFormat="1" applyBorder="1" applyAlignment="1">
      <alignment horizontal="center" vertical="center"/>
    </xf>
    <xf numFmtId="0" fontId="6" fillId="12" borderId="10" xfId="8" applyFont="1" applyBorder="1" applyAlignment="1">
      <alignment horizontal="left" indent="1"/>
    </xf>
    <xf numFmtId="170" fontId="6" fillId="12" borderId="10" xfId="8" applyNumberFormat="1" applyFont="1" applyBorder="1" applyAlignment="1">
      <alignment horizontal="left" indent="1"/>
    </xf>
    <xf numFmtId="0" fontId="6" fillId="12" borderId="13" xfId="8" applyFont="1" applyBorder="1" applyAlignment="1">
      <alignment horizontal="left" indent="1"/>
    </xf>
    <xf numFmtId="0" fontId="7" fillId="12" borderId="1" xfId="8" applyFont="1" applyBorder="1" applyAlignment="1">
      <alignment horizontal="centerContinuous" vertical="center"/>
    </xf>
    <xf numFmtId="0" fontId="4" fillId="12" borderId="10" xfId="8" applyFont="1" applyBorder="1" applyAlignment="1">
      <alignment vertical="top" wrapText="1"/>
    </xf>
    <xf numFmtId="0" fontId="1" fillId="12" borderId="11" xfId="8" applyBorder="1" applyAlignment="1"/>
    <xf numFmtId="0" fontId="1" fillId="12" borderId="6" xfId="8" applyBorder="1" applyAlignment="1">
      <alignment horizontal="left" vertical="center"/>
    </xf>
    <xf numFmtId="0" fontId="2" fillId="16" borderId="4" xfId="14" applyFont="1" applyBorder="1" applyAlignment="1">
      <alignment horizontal="center" wrapText="1"/>
    </xf>
    <xf numFmtId="0" fontId="2" fillId="16" borderId="14" xfId="14" applyFont="1" applyBorder="1" applyAlignment="1">
      <alignment horizontal="center" wrapText="1"/>
    </xf>
    <xf numFmtId="9" fontId="0" fillId="0" borderId="0" xfId="0" applyNumberFormat="1"/>
    <xf numFmtId="0" fontId="1" fillId="12" borderId="7" xfId="8" applyBorder="1" applyAlignment="1">
      <alignment horizontal="left" vertical="center" wrapText="1" indent="1"/>
    </xf>
    <xf numFmtId="0" fontId="1" fillId="12" borderId="8" xfId="8" applyBorder="1" applyAlignment="1">
      <alignment horizontal="left" vertical="center" wrapText="1" indent="1"/>
    </xf>
    <xf numFmtId="0" fontId="4" fillId="12" borderId="3" xfId="8" applyFont="1" applyBorder="1" applyAlignment="1">
      <alignment vertical="center"/>
    </xf>
    <xf numFmtId="0" fontId="0" fillId="12" borderId="3" xfId="8" applyFont="1" applyBorder="1" applyAlignment="1">
      <alignment horizontal="centerContinuous"/>
    </xf>
    <xf numFmtId="0" fontId="1" fillId="12" borderId="9" xfId="8" applyBorder="1" applyAlignment="1">
      <alignment horizontal="centerContinuous"/>
    </xf>
    <xf numFmtId="0" fontId="4" fillId="12" borderId="10" xfId="8" applyFont="1" applyBorder="1" applyAlignment="1">
      <alignment horizontal="left" vertical="center" wrapText="1"/>
    </xf>
    <xf numFmtId="0" fontId="9" fillId="12" borderId="12" xfId="8" applyFont="1" applyBorder="1" applyAlignment="1">
      <alignment horizontal="left" vertical="center" wrapText="1"/>
    </xf>
    <xf numFmtId="0" fontId="1" fillId="12" borderId="13" xfId="8" applyBorder="1" applyAlignment="1">
      <alignment horizontal="center" vertical="center"/>
    </xf>
    <xf numFmtId="0" fontId="7" fillId="12" borderId="3" xfId="8" applyFont="1" applyBorder="1" applyAlignment="1">
      <alignment horizontal="left" indent="1"/>
    </xf>
    <xf numFmtId="0" fontId="7" fillId="12" borderId="10" xfId="8" applyFont="1" applyBorder="1" applyAlignment="1">
      <alignment horizontal="left" indent="2"/>
    </xf>
    <xf numFmtId="0" fontId="7" fillId="12" borderId="13" xfId="8" applyFont="1" applyBorder="1" applyAlignment="1">
      <alignment horizontal="left" indent="2"/>
    </xf>
    <xf numFmtId="0" fontId="7" fillId="6" borderId="8" xfId="6" applyNumberFormat="1" applyFont="1" applyBorder="1">
      <alignment vertical="center"/>
      <protection locked="0"/>
    </xf>
    <xf numFmtId="170" fontId="22" fillId="14" borderId="6" xfId="12" applyBorder="1">
      <alignment horizontal="center" vertical="center"/>
    </xf>
    <xf numFmtId="0" fontId="0" fillId="16" borderId="2" xfId="14" applyFont="1" applyBorder="1" applyAlignment="1">
      <alignment horizontal="left" indent="2"/>
    </xf>
    <xf numFmtId="0" fontId="7" fillId="6" borderId="1" xfId="6" applyNumberFormat="1" applyFont="1" applyBorder="1">
      <alignment vertical="center"/>
      <protection locked="0"/>
    </xf>
    <xf numFmtId="172" fontId="7" fillId="6" borderId="1" xfId="6" applyNumberFormat="1" applyFont="1" applyBorder="1">
      <alignment vertical="center"/>
      <protection locked="0"/>
    </xf>
    <xf numFmtId="0" fontId="2" fillId="16" borderId="3" xfId="14" applyFont="1" applyBorder="1" applyAlignment="1">
      <alignment horizontal="center" wrapText="1"/>
    </xf>
    <xf numFmtId="0" fontId="2" fillId="16" borderId="9" xfId="14" applyFont="1" applyBorder="1" applyAlignment="1">
      <alignment horizontal="center" wrapText="1"/>
    </xf>
    <xf numFmtId="0" fontId="2" fillId="16" borderId="10" xfId="14" applyFont="1" applyBorder="1" applyAlignment="1">
      <alignment horizontal="center" wrapText="1"/>
    </xf>
    <xf numFmtId="0" fontId="2" fillId="16" borderId="11" xfId="14" applyFont="1" applyBorder="1" applyAlignment="1">
      <alignment horizontal="center" wrapText="1"/>
    </xf>
    <xf numFmtId="167" fontId="7" fillId="6" borderId="6" xfId="6" applyNumberFormat="1" applyFont="1" applyBorder="1" applyAlignment="1" applyProtection="1">
      <alignment horizontal="center" vertical="center"/>
      <protection locked="0"/>
    </xf>
    <xf numFmtId="167" fontId="7" fillId="6" borderId="7" xfId="6" applyNumberFormat="1" applyFont="1" applyBorder="1" applyAlignment="1" applyProtection="1">
      <alignment horizontal="center" vertical="center"/>
      <protection locked="0"/>
    </xf>
    <xf numFmtId="0" fontId="2" fillId="16" borderId="13" xfId="14" applyFont="1" applyBorder="1" applyAlignment="1">
      <alignment horizontal="center" wrapText="1"/>
    </xf>
    <xf numFmtId="0" fontId="2" fillId="16" borderId="12" xfId="14" applyFont="1" applyBorder="1" applyAlignment="1">
      <alignment horizontal="center" wrapText="1"/>
    </xf>
    <xf numFmtId="167" fontId="7" fillId="6" borderId="8" xfId="6" applyNumberFormat="1" applyFont="1" applyBorder="1" applyAlignment="1" applyProtection="1">
      <alignment horizontal="center" vertical="center"/>
      <protection locked="0"/>
    </xf>
    <xf numFmtId="0" fontId="61" fillId="0" borderId="0" xfId="2" applyFont="1" applyAlignment="1">
      <alignment horizontal="left"/>
    </xf>
    <xf numFmtId="0" fontId="6" fillId="0" borderId="0" xfId="0" applyFont="1"/>
    <xf numFmtId="0" fontId="63" fillId="0" borderId="0" xfId="2" applyFont="1"/>
    <xf numFmtId="0" fontId="63" fillId="0" borderId="0" xfId="2" applyFont="1" applyAlignment="1">
      <alignment horizontal="left" indent="1"/>
    </xf>
    <xf numFmtId="0" fontId="63" fillId="0" borderId="0" xfId="0" applyFont="1"/>
    <xf numFmtId="0" fontId="31" fillId="0" borderId="0" xfId="0" applyFont="1"/>
    <xf numFmtId="0" fontId="63" fillId="0" borderId="0" xfId="0" applyFont="1" applyAlignment="1">
      <alignment horizontal="left" indent="1"/>
    </xf>
    <xf numFmtId="0" fontId="1" fillId="12" borderId="7" xfId="8" applyBorder="1" applyAlignment="1">
      <alignment horizontal="left" vertical="center"/>
    </xf>
    <xf numFmtId="0" fontId="8" fillId="12" borderId="6" xfId="8" applyFont="1" applyBorder="1" applyAlignment="1">
      <alignment horizontal="center" vertical="center" wrapText="1"/>
    </xf>
    <xf numFmtId="0" fontId="9" fillId="12" borderId="4" xfId="8" applyFont="1" applyBorder="1" applyAlignment="1">
      <alignment horizontal="centerContinuous" vertical="center"/>
    </xf>
    <xf numFmtId="0" fontId="9" fillId="12" borderId="5" xfId="8" applyFont="1" applyBorder="1" applyAlignment="1">
      <alignment horizontal="centerContinuous" vertical="center"/>
    </xf>
    <xf numFmtId="0" fontId="7" fillId="12" borderId="3" xfId="8" applyFont="1" applyBorder="1" applyAlignment="1"/>
    <xf numFmtId="0" fontId="36" fillId="3" borderId="6" xfId="0" applyFont="1" applyFill="1" applyBorder="1" applyAlignment="1">
      <alignment horizontal="centerContinuous"/>
    </xf>
    <xf numFmtId="172" fontId="9" fillId="6" borderId="1" xfId="6" applyNumberFormat="1" applyFont="1" applyBorder="1" applyAlignment="1">
      <alignment horizontal="center" vertical="center"/>
      <protection locked="0"/>
    </xf>
    <xf numFmtId="167" fontId="7" fillId="5" borderId="9" xfId="5" applyFont="1" applyBorder="1" applyAlignment="1">
      <alignment horizontal="center" vertical="center"/>
      <protection locked="0"/>
    </xf>
    <xf numFmtId="0" fontId="57" fillId="3" borderId="6" xfId="19" quotePrefix="1" applyFill="1" applyBorder="1" applyAlignment="1">
      <alignment horizontal="center"/>
    </xf>
    <xf numFmtId="167" fontId="9" fillId="6" borderId="7" xfId="6" applyNumberFormat="1" applyFont="1" applyBorder="1" applyAlignment="1" applyProtection="1">
      <alignment horizontal="center" vertical="center"/>
      <protection locked="0"/>
    </xf>
    <xf numFmtId="166" fontId="6" fillId="3" borderId="2" xfId="3" applyBorder="1">
      <alignment vertical="center"/>
    </xf>
    <xf numFmtId="0" fontId="6" fillId="3" borderId="6" xfId="3" applyNumberFormat="1" applyBorder="1">
      <alignment vertical="center"/>
    </xf>
    <xf numFmtId="167" fontId="7" fillId="5" borderId="11" xfId="5" applyFont="1" applyBorder="1" applyAlignment="1">
      <alignment horizontal="center" vertical="center"/>
      <protection locked="0"/>
    </xf>
    <xf numFmtId="0" fontId="57" fillId="3" borderId="7" xfId="19" quotePrefix="1" applyFill="1" applyBorder="1" applyAlignment="1">
      <alignment horizontal="center"/>
    </xf>
    <xf numFmtId="0" fontId="6" fillId="3" borderId="7" xfId="3" applyNumberFormat="1" applyBorder="1">
      <alignment vertical="center"/>
    </xf>
    <xf numFmtId="0" fontId="6" fillId="3" borderId="8" xfId="3" applyNumberFormat="1" applyBorder="1">
      <alignment vertical="center"/>
    </xf>
    <xf numFmtId="0" fontId="57" fillId="3" borderId="8" xfId="19" quotePrefix="1" applyFill="1" applyBorder="1" applyAlignment="1">
      <alignment horizontal="center"/>
    </xf>
    <xf numFmtId="167" fontId="9" fillId="6" borderId="8" xfId="6" applyNumberFormat="1" applyFont="1" applyBorder="1" applyAlignment="1" applyProtection="1">
      <alignment horizontal="center" vertical="center"/>
      <protection locked="0"/>
    </xf>
    <xf numFmtId="172" fontId="7" fillId="6" borderId="1" xfId="6" applyNumberFormat="1" applyFont="1" applyBorder="1" applyAlignment="1">
      <alignment horizontal="center" vertical="center"/>
      <protection locked="0"/>
    </xf>
    <xf numFmtId="0" fontId="7" fillId="12" borderId="6" xfId="8" applyFont="1" applyBorder="1" applyAlignment="1">
      <alignment horizontal="center" wrapText="1"/>
    </xf>
    <xf numFmtId="0" fontId="37" fillId="12" borderId="6" xfId="8" applyFont="1" applyBorder="1" applyAlignment="1">
      <alignment horizontal="center" wrapText="1"/>
    </xf>
    <xf numFmtId="0" fontId="1" fillId="12" borderId="6" xfId="8" applyFont="1" applyBorder="1" applyAlignment="1">
      <alignment vertical="center"/>
    </xf>
    <xf numFmtId="0" fontId="1" fillId="12" borderId="7" xfId="8" applyFont="1" applyBorder="1" applyAlignment="1">
      <alignment vertical="center"/>
    </xf>
    <xf numFmtId="0" fontId="36" fillId="12" borderId="14" xfId="8" applyFont="1" applyBorder="1" applyAlignment="1">
      <alignment horizontal="centerContinuous"/>
    </xf>
    <xf numFmtId="0" fontId="4" fillId="12" borderId="10" xfId="8" applyFont="1" applyBorder="1" applyAlignment="1">
      <alignment vertical="center"/>
    </xf>
    <xf numFmtId="0" fontId="4" fillId="12" borderId="12" xfId="8" applyFont="1" applyBorder="1" applyAlignment="1">
      <alignment vertical="center"/>
    </xf>
    <xf numFmtId="0" fontId="0" fillId="0" borderId="0" xfId="0" applyAlignment="1">
      <alignment wrapText="1"/>
    </xf>
    <xf numFmtId="0" fontId="4" fillId="12" borderId="8" xfId="8" applyFont="1" applyBorder="1" applyAlignment="1">
      <alignment vertical="center"/>
    </xf>
    <xf numFmtId="169" fontId="20" fillId="3" borderId="0" xfId="10" applyBorder="1">
      <alignment horizontal="center" vertical="center"/>
    </xf>
    <xf numFmtId="0" fontId="39" fillId="0" borderId="0" xfId="0" applyFont="1" applyFill="1" applyBorder="1"/>
    <xf numFmtId="0" fontId="0" fillId="0" borderId="0" xfId="0" applyFill="1" applyBorder="1" applyProtection="1"/>
    <xf numFmtId="0" fontId="1" fillId="12" borderId="6" xfId="8" applyFont="1" applyBorder="1" applyAlignment="1"/>
    <xf numFmtId="167" fontId="7" fillId="5" borderId="7" xfId="5" applyNumberFormat="1" applyFont="1" applyBorder="1">
      <alignment vertical="center"/>
      <protection locked="0"/>
    </xf>
    <xf numFmtId="0" fontId="1" fillId="12" borderId="8" xfId="8" applyFont="1" applyBorder="1" applyAlignment="1"/>
    <xf numFmtId="0" fontId="4" fillId="12" borderId="3" xfId="8" applyFont="1" applyBorder="1" applyAlignment="1"/>
    <xf numFmtId="0" fontId="4" fillId="12" borderId="13" xfId="8" applyFont="1" applyBorder="1" applyAlignment="1"/>
    <xf numFmtId="170" fontId="21" fillId="3" borderId="14" xfId="11" applyBorder="1" applyAlignment="1">
      <alignment horizontal="centerContinuous" vertical="center"/>
    </xf>
    <xf numFmtId="0" fontId="17" fillId="12" borderId="13" xfId="8" applyFont="1" applyBorder="1" applyAlignment="1"/>
    <xf numFmtId="0" fontId="0" fillId="0" borderId="0" xfId="0" applyAlignment="1">
      <alignment horizontal="center" vertical="center"/>
    </xf>
    <xf numFmtId="0" fontId="7" fillId="12" borderId="4" xfId="8" applyFont="1" applyBorder="1" applyAlignment="1">
      <alignment horizontal="centerContinuous" vertical="center" wrapText="1"/>
    </xf>
    <xf numFmtId="0" fontId="0" fillId="12" borderId="10" xfId="8" applyFont="1" applyBorder="1" applyAlignment="1">
      <alignment vertical="top"/>
    </xf>
    <xf numFmtId="0" fontId="7" fillId="12" borderId="1" xfId="8" applyFont="1" applyBorder="1" applyAlignment="1">
      <alignment horizontal="center" vertical="center"/>
    </xf>
    <xf numFmtId="170" fontId="22" fillId="14" borderId="0" xfId="12" applyBorder="1">
      <alignment horizontal="center" vertical="center"/>
    </xf>
    <xf numFmtId="0" fontId="1" fillId="12" borderId="4" xfId="8" applyBorder="1" applyAlignment="1"/>
    <xf numFmtId="3" fontId="4" fillId="16" borderId="3" xfId="14" applyNumberFormat="1" applyFont="1" applyBorder="1" applyAlignment="1"/>
    <xf numFmtId="3" fontId="4" fillId="16" borderId="2" xfId="14" applyNumberFormat="1" applyFont="1" applyBorder="1" applyAlignment="1"/>
    <xf numFmtId="3" fontId="4" fillId="16" borderId="9" xfId="14" applyNumberFormat="1" applyFont="1" applyBorder="1" applyAlignment="1"/>
    <xf numFmtId="3" fontId="4" fillId="16" borderId="10" xfId="14" applyNumberFormat="1" applyFont="1" applyBorder="1" applyAlignment="1"/>
    <xf numFmtId="3" fontId="4" fillId="16" borderId="0" xfId="14" applyNumberFormat="1" applyFont="1" applyBorder="1" applyAlignment="1"/>
    <xf numFmtId="3" fontId="4" fillId="16" borderId="11" xfId="14" applyNumberFormat="1" applyFont="1" applyBorder="1" applyAlignment="1"/>
    <xf numFmtId="0" fontId="7" fillId="12" borderId="14" xfId="8" applyFont="1" applyBorder="1" applyAlignment="1">
      <alignment horizontal="centerContinuous" vertical="center"/>
    </xf>
    <xf numFmtId="0" fontId="7" fillId="12" borderId="13" xfId="8" applyFont="1" applyBorder="1" applyAlignment="1">
      <alignment horizontal="centerContinuous" vertical="center"/>
    </xf>
    <xf numFmtId="0" fontId="7" fillId="12" borderId="12" xfId="8" applyFont="1" applyBorder="1" applyAlignment="1">
      <alignment horizontal="centerContinuous" vertical="center"/>
    </xf>
    <xf numFmtId="0" fontId="9" fillId="12" borderId="5" xfId="8" applyFont="1" applyBorder="1" applyAlignment="1">
      <alignment horizontal="center" vertical="center"/>
    </xf>
    <xf numFmtId="0" fontId="11" fillId="12" borderId="3" xfId="8" applyFont="1" applyBorder="1" applyAlignment="1">
      <alignment horizontal="center" vertical="center"/>
    </xf>
    <xf numFmtId="0" fontId="0" fillId="12" borderId="5" xfId="8" applyFont="1" applyBorder="1" applyAlignment="1">
      <alignment horizontal="center" vertical="center"/>
    </xf>
    <xf numFmtId="0" fontId="7" fillId="12" borderId="8" xfId="8" applyFont="1" applyBorder="1" applyAlignment="1">
      <alignment horizontal="center" vertical="center"/>
    </xf>
    <xf numFmtId="172" fontId="0" fillId="16" borderId="6" xfId="14" applyNumberFormat="1" applyFont="1" applyBorder="1" applyAlignment="1">
      <alignment vertical="center"/>
    </xf>
    <xf numFmtId="172" fontId="0" fillId="16" borderId="8" xfId="14" applyNumberFormat="1" applyFont="1" applyBorder="1" applyAlignment="1">
      <alignment vertical="center"/>
    </xf>
    <xf numFmtId="0" fontId="7" fillId="12" borderId="3" xfId="8" applyFont="1" applyBorder="1" applyAlignment="1">
      <alignment horizontal="center" vertical="center"/>
    </xf>
    <xf numFmtId="0" fontId="7" fillId="12" borderId="6" xfId="8" applyFont="1" applyBorder="1" applyAlignment="1"/>
    <xf numFmtId="167" fontId="7" fillId="4" borderId="7" xfId="4" applyFont="1" applyBorder="1">
      <alignment vertical="center"/>
      <protection locked="0"/>
    </xf>
    <xf numFmtId="0" fontId="36" fillId="12" borderId="8" xfId="8" applyFont="1" applyBorder="1" applyAlignment="1">
      <alignment horizontal="left" indent="2"/>
    </xf>
    <xf numFmtId="167" fontId="7" fillId="4" borderId="8" xfId="4" applyFont="1" applyBorder="1">
      <alignment vertical="center"/>
      <protection locked="0"/>
    </xf>
    <xf numFmtId="0" fontId="7" fillId="12" borderId="15" xfId="8" applyFont="1" applyBorder="1" applyAlignment="1"/>
    <xf numFmtId="0" fontId="1" fillId="12" borderId="5" xfId="8" applyFont="1" applyBorder="1" applyAlignment="1">
      <alignment horizontal="centerContinuous"/>
    </xf>
    <xf numFmtId="0" fontId="7" fillId="12" borderId="4" xfId="8" applyFont="1" applyBorder="1" applyAlignment="1">
      <alignment horizontal="centerContinuous"/>
    </xf>
    <xf numFmtId="0" fontId="7" fillId="12" borderId="5" xfId="8" applyFont="1" applyBorder="1" applyAlignment="1">
      <alignment horizontal="centerContinuous"/>
    </xf>
    <xf numFmtId="0" fontId="6" fillId="3" borderId="0" xfId="3" applyNumberFormat="1" applyBorder="1" applyAlignment="1">
      <alignment vertical="center" wrapText="1"/>
    </xf>
    <xf numFmtId="169" fontId="20" fillId="3" borderId="2" xfId="10" applyBorder="1">
      <alignment horizontal="center" vertical="center"/>
    </xf>
    <xf numFmtId="167" fontId="7" fillId="6" borderId="1" xfId="6" applyNumberFormat="1" applyFont="1" applyBorder="1" applyAlignment="1">
      <alignment horizontal="center" vertical="center"/>
      <protection locked="0"/>
    </xf>
    <xf numFmtId="9" fontId="6" fillId="3" borderId="0" xfId="3" applyNumberFormat="1" applyBorder="1">
      <alignment vertical="center"/>
    </xf>
    <xf numFmtId="170" fontId="21" fillId="3" borderId="3" xfId="11" applyBorder="1">
      <alignment horizontal="center" vertical="center"/>
    </xf>
    <xf numFmtId="0" fontId="0" fillId="12" borderId="6" xfId="8" applyFont="1" applyBorder="1" applyAlignment="1">
      <alignment horizontal="center"/>
    </xf>
    <xf numFmtId="167" fontId="6" fillId="16" borderId="6" xfId="14" applyNumberFormat="1" applyFont="1" applyBorder="1" applyAlignment="1">
      <alignment vertical="center"/>
    </xf>
    <xf numFmtId="0" fontId="1" fillId="12" borderId="7" xfId="8" applyBorder="1" applyAlignment="1">
      <alignment horizontal="center"/>
    </xf>
    <xf numFmtId="0" fontId="1" fillId="12" borderId="8" xfId="8" applyBorder="1" applyAlignment="1">
      <alignment horizontal="center"/>
    </xf>
    <xf numFmtId="0" fontId="10" fillId="12" borderId="4" xfId="8" applyFont="1" applyBorder="1" applyAlignment="1"/>
    <xf numFmtId="0" fontId="7" fillId="15" borderId="1" xfId="13" applyNumberFormat="1" applyFont="1" applyBorder="1">
      <alignment vertical="center"/>
      <protection locked="0"/>
    </xf>
    <xf numFmtId="0" fontId="0" fillId="0" borderId="0" xfId="0" applyFont="1" applyBorder="1"/>
    <xf numFmtId="0" fontId="11" fillId="12" borderId="3" xfId="8" applyFont="1" applyBorder="1" applyAlignment="1">
      <alignment horizontal="left" vertical="center"/>
    </xf>
    <xf numFmtId="0" fontId="0" fillId="12" borderId="2" xfId="8" applyFont="1" applyBorder="1" applyAlignment="1">
      <alignment horizontal="center" vertical="center"/>
    </xf>
    <xf numFmtId="0" fontId="7" fillId="12" borderId="13" xfId="8" applyFont="1" applyBorder="1" applyAlignment="1">
      <alignment horizontal="center" vertical="center"/>
    </xf>
    <xf numFmtId="0" fontId="7" fillId="12" borderId="12" xfId="8" applyFont="1" applyBorder="1" applyAlignment="1">
      <alignment horizontal="center" vertical="center"/>
    </xf>
    <xf numFmtId="0" fontId="1" fillId="12" borderId="15" xfId="8" applyBorder="1" applyAlignment="1"/>
    <xf numFmtId="0" fontId="1" fillId="12" borderId="14" xfId="8" applyBorder="1" applyAlignment="1"/>
    <xf numFmtId="170" fontId="22" fillId="14" borderId="15" xfId="12" applyBorder="1">
      <alignment horizontal="center" vertical="center"/>
    </xf>
    <xf numFmtId="166" fontId="6" fillId="3" borderId="8" xfId="3" applyNumberFormat="1" applyBorder="1" applyAlignment="1">
      <alignment horizontal="center" vertical="center"/>
    </xf>
    <xf numFmtId="0" fontId="4" fillId="0" borderId="0" xfId="0" applyFont="1" applyBorder="1" applyAlignment="1">
      <alignment horizontal="center" vertical="center" wrapText="1"/>
    </xf>
    <xf numFmtId="0" fontId="10" fillId="12" borderId="4" xfId="8" applyFont="1" applyBorder="1" applyAlignment="1">
      <alignment horizontal="centerContinuous"/>
    </xf>
    <xf numFmtId="0" fontId="10" fillId="12" borderId="14" xfId="8" applyFont="1" applyBorder="1" applyAlignment="1">
      <alignment horizontal="centerContinuous"/>
    </xf>
    <xf numFmtId="0" fontId="10" fillId="12" borderId="5" xfId="8" applyFont="1" applyBorder="1" applyAlignment="1">
      <alignment horizontal="centerContinuous"/>
    </xf>
    <xf numFmtId="0" fontId="7" fillId="12" borderId="8" xfId="8" applyFont="1" applyBorder="1" applyAlignment="1"/>
    <xf numFmtId="0" fontId="1" fillId="12" borderId="4" xfId="8" applyBorder="1" applyAlignment="1">
      <alignment horizontal="center" vertical="center" wrapText="1"/>
    </xf>
    <xf numFmtId="0" fontId="7" fillId="12" borderId="1" xfId="8" quotePrefix="1" applyFont="1" applyBorder="1" applyAlignment="1">
      <alignment horizontal="left" vertical="top" wrapText="1"/>
    </xf>
    <xf numFmtId="167" fontId="7" fillId="6" borderId="1" xfId="6" applyNumberFormat="1" applyFont="1" applyBorder="1" applyAlignment="1" applyProtection="1">
      <alignment horizontal="center" vertical="center"/>
      <protection locked="0"/>
    </xf>
    <xf numFmtId="9" fontId="6" fillId="3" borderId="1" xfId="3" applyNumberFormat="1" applyBorder="1" applyAlignment="1">
      <alignment horizontal="center" vertical="center"/>
    </xf>
    <xf numFmtId="0" fontId="7" fillId="12" borderId="1" xfId="8" applyFont="1" applyBorder="1" applyAlignment="1">
      <alignment wrapText="1"/>
    </xf>
    <xf numFmtId="0" fontId="7" fillId="12" borderId="8" xfId="8" applyFont="1" applyBorder="1" applyAlignment="1">
      <alignment horizontal="center"/>
    </xf>
    <xf numFmtId="0" fontId="0" fillId="16" borderId="8" xfId="14" applyFont="1" applyBorder="1" applyAlignment="1">
      <alignment horizontal="center"/>
    </xf>
    <xf numFmtId="0" fontId="4" fillId="0" borderId="0" xfId="0" applyFont="1" applyFill="1" applyBorder="1" applyAlignment="1">
      <alignment horizontal="center" wrapText="1"/>
    </xf>
    <xf numFmtId="0" fontId="27" fillId="12" borderId="4" xfId="8" applyFont="1" applyBorder="1" applyAlignment="1">
      <alignment horizontal="left"/>
    </xf>
    <xf numFmtId="0" fontId="27" fillId="12" borderId="14" xfId="8" applyFont="1" applyBorder="1" applyAlignment="1"/>
    <xf numFmtId="0" fontId="27" fillId="12" borderId="5" xfId="8" applyFont="1" applyBorder="1" applyAlignment="1"/>
    <xf numFmtId="0" fontId="0" fillId="0" borderId="0" xfId="0" applyFont="1" applyFill="1" applyBorder="1"/>
    <xf numFmtId="0" fontId="7" fillId="12" borderId="1" xfId="8" quotePrefix="1" applyFont="1" applyBorder="1" applyAlignment="1">
      <alignment horizontal="left" vertical="center" wrapText="1"/>
    </xf>
    <xf numFmtId="170" fontId="22" fillId="14" borderId="3" xfId="12" applyBorder="1">
      <alignment horizontal="center" vertical="center"/>
    </xf>
    <xf numFmtId="0" fontId="7" fillId="12" borderId="1" xfId="8" applyFont="1" applyBorder="1" applyAlignment="1">
      <alignment horizontal="left" vertical="center" wrapText="1"/>
    </xf>
    <xf numFmtId="0" fontId="7" fillId="12" borderId="1" xfId="8" applyFont="1" applyBorder="1" applyAlignment="1">
      <alignment horizontal="left" vertical="center"/>
    </xf>
    <xf numFmtId="9" fontId="4" fillId="16" borderId="8" xfId="14" applyNumberFormat="1" applyFont="1" applyBorder="1" applyAlignment="1">
      <alignment horizontal="center"/>
    </xf>
    <xf numFmtId="0" fontId="0" fillId="0" borderId="0" xfId="0" applyFont="1" applyFill="1" applyBorder="1" applyAlignment="1">
      <alignment horizontal="center"/>
    </xf>
    <xf numFmtId="0" fontId="4" fillId="0" borderId="0" xfId="0" applyFont="1" applyFill="1" applyBorder="1" applyAlignment="1">
      <alignment horizontal="left"/>
    </xf>
    <xf numFmtId="0" fontId="4" fillId="0" borderId="0" xfId="0" applyFont="1" applyFill="1" applyBorder="1"/>
    <xf numFmtId="0" fontId="1" fillId="0" borderId="0" xfId="0" applyFont="1" applyFill="1" applyBorder="1" applyAlignment="1">
      <alignment horizontal="center"/>
    </xf>
    <xf numFmtId="0" fontId="64" fillId="0" borderId="0" xfId="0" applyFont="1"/>
    <xf numFmtId="0" fontId="7" fillId="12" borderId="4" xfId="8" quotePrefix="1" applyFont="1" applyBorder="1" applyAlignment="1">
      <alignment horizontal="left" vertical="top" wrapText="1"/>
    </xf>
    <xf numFmtId="0" fontId="7" fillId="12" borderId="4" xfId="8" applyFont="1" applyBorder="1" applyAlignment="1">
      <alignment wrapText="1"/>
    </xf>
    <xf numFmtId="0" fontId="0" fillId="16" borderId="1" xfId="14" applyFont="1" applyBorder="1"/>
    <xf numFmtId="0" fontId="0" fillId="0" borderId="0" xfId="0" applyFill="1" applyBorder="1" applyAlignment="1">
      <alignment horizontal="center"/>
    </xf>
    <xf numFmtId="0" fontId="4" fillId="12" borderId="1" xfId="8" applyFont="1" applyBorder="1" applyAlignment="1">
      <alignment horizontal="center" wrapText="1"/>
    </xf>
    <xf numFmtId="16" fontId="0" fillId="0" borderId="0" xfId="0" applyNumberFormat="1" applyBorder="1"/>
    <xf numFmtId="0" fontId="4" fillId="12" borderId="3" xfId="8" applyFont="1" applyBorder="1" applyAlignment="1">
      <alignment horizontal="center" vertical="center" wrapText="1"/>
    </xf>
    <xf numFmtId="0" fontId="6" fillId="3" borderId="3" xfId="3" applyNumberFormat="1" applyBorder="1" applyAlignment="1">
      <alignment vertical="center" wrapText="1"/>
    </xf>
    <xf numFmtId="0" fontId="6" fillId="3" borderId="14" xfId="3" applyNumberFormat="1" applyBorder="1" applyAlignment="1">
      <alignment horizontal="center" vertical="center"/>
    </xf>
    <xf numFmtId="0" fontId="6" fillId="3" borderId="5" xfId="3" applyNumberFormat="1" applyBorder="1" applyAlignment="1">
      <alignment horizontal="center" vertical="center"/>
    </xf>
    <xf numFmtId="0" fontId="4" fillId="12" borderId="13" xfId="8" applyFont="1" applyBorder="1" applyAlignment="1">
      <alignment horizontal="center"/>
    </xf>
    <xf numFmtId="170" fontId="6" fillId="3" borderId="8" xfId="3" applyNumberFormat="1" applyBorder="1">
      <alignment vertical="center"/>
    </xf>
    <xf numFmtId="167" fontId="7" fillId="4" borderId="9" xfId="4" applyBorder="1">
      <alignment vertical="center"/>
      <protection locked="0"/>
    </xf>
    <xf numFmtId="0" fontId="6" fillId="3" borderId="7" xfId="3" applyNumberFormat="1" applyBorder="1" applyAlignment="1">
      <alignment horizontal="left" vertical="center"/>
    </xf>
    <xf numFmtId="166" fontId="6" fillId="3" borderId="3" xfId="3" applyNumberFormat="1" applyBorder="1">
      <alignment vertical="center"/>
    </xf>
    <xf numFmtId="167" fontId="7" fillId="4" borderId="11" xfId="4" applyBorder="1">
      <alignment vertical="center"/>
      <protection locked="0"/>
    </xf>
    <xf numFmtId="166" fontId="6" fillId="3" borderId="10" xfId="3" applyNumberFormat="1" applyBorder="1">
      <alignment vertical="center"/>
    </xf>
    <xf numFmtId="167" fontId="7" fillId="4" borderId="12" xfId="4" applyBorder="1">
      <alignment vertical="center"/>
      <protection locked="0"/>
    </xf>
    <xf numFmtId="0" fontId="6" fillId="3" borderId="8" xfId="3" applyNumberFormat="1" applyBorder="1" applyAlignment="1">
      <alignment horizontal="left" vertical="center"/>
    </xf>
    <xf numFmtId="166" fontId="6" fillId="3" borderId="13" xfId="3" applyNumberFormat="1" applyBorder="1">
      <alignment vertical="center"/>
    </xf>
    <xf numFmtId="166" fontId="6" fillId="3" borderId="15" xfId="3" applyNumberFormat="1" applyBorder="1">
      <alignment vertical="center"/>
    </xf>
    <xf numFmtId="166" fontId="6" fillId="3" borderId="12" xfId="3" applyNumberFormat="1" applyBorder="1">
      <alignment vertical="center"/>
    </xf>
    <xf numFmtId="0" fontId="4" fillId="0" borderId="0" xfId="0" applyFont="1" applyBorder="1"/>
    <xf numFmtId="0" fontId="4" fillId="0" borderId="0" xfId="0" applyFont="1"/>
    <xf numFmtId="0" fontId="4" fillId="16" borderId="1" xfId="14" applyFont="1" applyBorder="1" applyAlignment="1">
      <alignment horizontal="center" vertical="center" wrapText="1"/>
    </xf>
    <xf numFmtId="169" fontId="6" fillId="3" borderId="2" xfId="3" applyNumberFormat="1" applyBorder="1">
      <alignment vertical="center"/>
    </xf>
    <xf numFmtId="170" fontId="21" fillId="3" borderId="8" xfId="11" applyBorder="1">
      <alignment horizontal="center" vertical="center"/>
    </xf>
    <xf numFmtId="0" fontId="0" fillId="0" borderId="0" xfId="0" applyBorder="1" applyAlignment="1">
      <alignment wrapText="1"/>
    </xf>
    <xf numFmtId="0" fontId="0" fillId="0" borderId="9" xfId="0" applyBorder="1" applyAlignment="1"/>
    <xf numFmtId="0" fontId="0" fillId="0" borderId="2" xfId="0" applyFont="1" applyFill="1" applyBorder="1"/>
    <xf numFmtId="0" fontId="4" fillId="0" borderId="2" xfId="0" applyFont="1" applyFill="1" applyBorder="1" applyAlignment="1">
      <alignment horizontal="left"/>
    </xf>
    <xf numFmtId="0" fontId="4" fillId="16" borderId="4" xfId="14" applyFont="1" applyBorder="1" applyAlignment="1">
      <alignment horizontal="center" vertical="center" wrapText="1"/>
    </xf>
    <xf numFmtId="0" fontId="4" fillId="16" borderId="5" xfId="14" applyFont="1" applyBorder="1" applyAlignment="1">
      <alignment horizontal="center" vertical="center" wrapText="1"/>
    </xf>
    <xf numFmtId="0" fontId="1" fillId="0" borderId="0" xfId="0" applyFont="1" applyFill="1" applyBorder="1" applyAlignment="1">
      <alignment horizontal="center" wrapText="1"/>
    </xf>
    <xf numFmtId="0" fontId="6" fillId="3" borderId="2" xfId="3" applyNumberFormat="1" applyBorder="1">
      <alignment vertical="center"/>
    </xf>
    <xf numFmtId="0" fontId="6" fillId="3" borderId="9" xfId="3" applyNumberFormat="1" applyBorder="1" applyAlignment="1">
      <alignment vertical="center" wrapText="1"/>
    </xf>
    <xf numFmtId="0" fontId="6" fillId="3" borderId="10" xfId="3" applyNumberFormat="1" applyBorder="1">
      <alignment vertical="center"/>
    </xf>
    <xf numFmtId="0" fontId="6" fillId="3" borderId="15" xfId="3" applyNumberFormat="1" applyBorder="1">
      <alignment vertical="center"/>
    </xf>
    <xf numFmtId="0" fontId="7" fillId="12" borderId="2" xfId="8" applyFont="1" applyBorder="1" applyAlignment="1">
      <alignment horizontal="center" vertical="center" wrapText="1"/>
    </xf>
    <xf numFmtId="0" fontId="4" fillId="12" borderId="13" xfId="8" applyFont="1" applyBorder="1" applyAlignment="1">
      <alignment horizontal="center" vertical="center" wrapText="1"/>
    </xf>
    <xf numFmtId="0" fontId="4" fillId="12" borderId="3" xfId="8" applyFont="1" applyBorder="1" applyAlignment="1">
      <alignment horizontal="left" vertical="center"/>
    </xf>
    <xf numFmtId="0" fontId="1" fillId="12" borderId="9" xfId="8" applyBorder="1" applyAlignment="1">
      <alignment horizontal="left"/>
    </xf>
    <xf numFmtId="0" fontId="4" fillId="12" borderId="13" xfId="8" applyFont="1" applyBorder="1" applyAlignment="1">
      <alignment horizontal="left" vertical="center"/>
    </xf>
    <xf numFmtId="0" fontId="1" fillId="12" borderId="15" xfId="8" applyBorder="1" applyAlignment="1">
      <alignment horizontal="left"/>
    </xf>
    <xf numFmtId="0" fontId="4" fillId="12" borderId="15" xfId="8" applyFont="1" applyBorder="1" applyAlignment="1">
      <alignment horizontal="left" vertical="center"/>
    </xf>
    <xf numFmtId="0" fontId="0" fillId="15" borderId="3" xfId="13" applyNumberFormat="1" applyFont="1" applyBorder="1" applyAlignment="1">
      <alignment horizontal="left" vertical="center"/>
      <protection locked="0"/>
    </xf>
    <xf numFmtId="0" fontId="0" fillId="15" borderId="2" xfId="13" applyNumberFormat="1" applyFont="1" applyBorder="1" applyAlignment="1">
      <alignment horizontal="left" vertical="center"/>
      <protection locked="0"/>
    </xf>
    <xf numFmtId="0" fontId="0" fillId="15" borderId="10" xfId="13" applyNumberFormat="1" applyFont="1" applyBorder="1" applyAlignment="1">
      <alignment horizontal="left" vertical="center"/>
      <protection locked="0"/>
    </xf>
    <xf numFmtId="0" fontId="0" fillId="15" borderId="0" xfId="13" applyNumberFormat="1" applyFont="1" applyBorder="1" applyAlignment="1">
      <alignment horizontal="left" vertical="center"/>
      <protection locked="0"/>
    </xf>
    <xf numFmtId="0" fontId="0" fillId="15" borderId="13" xfId="13" applyNumberFormat="1" applyFont="1" applyBorder="1" applyAlignment="1">
      <alignment horizontal="left" vertical="center"/>
      <protection locked="0"/>
    </xf>
    <xf numFmtId="0" fontId="0" fillId="15" borderId="15" xfId="13" applyNumberFormat="1" applyFont="1" applyBorder="1" applyAlignment="1">
      <alignment horizontal="left" vertical="center"/>
      <protection locked="0"/>
    </xf>
    <xf numFmtId="0" fontId="0" fillId="12" borderId="3" xfId="8" applyFont="1" applyBorder="1" applyAlignment="1">
      <alignment horizontal="left"/>
    </xf>
    <xf numFmtId="0" fontId="1" fillId="12" borderId="14" xfId="8" applyBorder="1" applyAlignment="1">
      <alignment horizontal="center" wrapText="1"/>
    </xf>
    <xf numFmtId="0" fontId="1" fillId="12" borderId="5" xfId="8" applyBorder="1" applyAlignment="1">
      <alignment horizontal="center" wrapText="1"/>
    </xf>
    <xf numFmtId="0" fontId="1" fillId="12" borderId="7" xfId="8" applyBorder="1" applyAlignment="1">
      <alignment horizontal="center" wrapText="1"/>
    </xf>
    <xf numFmtId="0" fontId="7" fillId="12" borderId="6" xfId="8" applyFont="1" applyBorder="1" applyAlignment="1">
      <alignment horizontal="center" vertical="center" wrapText="1"/>
    </xf>
    <xf numFmtId="9" fontId="6" fillId="3" borderId="1" xfId="3" applyNumberFormat="1" applyBorder="1" applyAlignment="1">
      <alignment horizontal="center" vertical="center" wrapText="1"/>
    </xf>
    <xf numFmtId="0" fontId="0" fillId="12" borderId="1" xfId="8" applyFont="1" applyBorder="1" applyAlignment="1">
      <alignment wrapText="1"/>
    </xf>
    <xf numFmtId="0" fontId="7" fillId="6" borderId="6" xfId="6" applyNumberFormat="1" applyFont="1" applyBorder="1">
      <alignment vertical="center"/>
      <protection locked="0"/>
    </xf>
    <xf numFmtId="0" fontId="1" fillId="12" borderId="60" xfId="8" applyBorder="1" applyAlignment="1">
      <alignment horizontal="left" indent="1"/>
    </xf>
    <xf numFmtId="167" fontId="7" fillId="6" borderId="18" xfId="6" applyNumberFormat="1" applyFont="1" applyBorder="1" applyProtection="1">
      <alignment vertical="center"/>
      <protection locked="0"/>
    </xf>
    <xf numFmtId="167" fontId="7" fillId="6" borderId="18" xfId="6" applyNumberFormat="1" applyFont="1" applyBorder="1">
      <alignment vertical="center"/>
      <protection locked="0"/>
    </xf>
    <xf numFmtId="0" fontId="1" fillId="12" borderId="25" xfId="8" applyBorder="1" applyAlignment="1">
      <alignment horizontal="left" indent="2"/>
    </xf>
    <xf numFmtId="167" fontId="7" fillId="4" borderId="21" xfId="4" applyBorder="1">
      <alignment vertical="center"/>
      <protection locked="0"/>
    </xf>
    <xf numFmtId="9" fontId="6" fillId="3" borderId="6" xfId="3" applyNumberFormat="1" applyBorder="1">
      <alignment vertical="center"/>
    </xf>
    <xf numFmtId="0" fontId="1" fillId="12" borderId="56" xfId="8" applyBorder="1" applyAlignment="1">
      <alignment horizontal="left" indent="2"/>
    </xf>
    <xf numFmtId="167" fontId="7" fillId="4" borderId="33" xfId="4" applyBorder="1">
      <alignment vertical="center"/>
      <protection locked="0"/>
    </xf>
    <xf numFmtId="10" fontId="6" fillId="3" borderId="8" xfId="3" applyNumberFormat="1" applyBorder="1">
      <alignment vertical="center"/>
    </xf>
    <xf numFmtId="9" fontId="65" fillId="3" borderId="1" xfId="3" applyNumberFormat="1" applyFont="1" applyBorder="1" applyAlignment="1">
      <alignment horizontal="center" vertical="center" wrapText="1"/>
    </xf>
    <xf numFmtId="9" fontId="65" fillId="3" borderId="1" xfId="3" applyNumberFormat="1" applyFont="1" applyBorder="1" applyAlignment="1">
      <alignment horizontal="center" vertical="center"/>
    </xf>
    <xf numFmtId="170" fontId="31" fillId="3" borderId="10" xfId="0" applyNumberFormat="1" applyFont="1" applyFill="1" applyBorder="1" applyAlignment="1">
      <alignment horizontal="center" vertical="center"/>
    </xf>
    <xf numFmtId="167" fontId="7" fillId="6" borderId="26" xfId="6" applyNumberFormat="1" applyFont="1" applyBorder="1">
      <alignment vertical="center"/>
      <protection locked="0"/>
    </xf>
    <xf numFmtId="167" fontId="7" fillId="4" borderId="26" xfId="4" applyBorder="1">
      <alignment vertical="center"/>
      <protection locked="0"/>
    </xf>
    <xf numFmtId="10" fontId="6" fillId="3" borderId="7" xfId="3" applyNumberFormat="1" applyBorder="1">
      <alignment vertical="center"/>
    </xf>
    <xf numFmtId="0" fontId="0" fillId="12" borderId="1" xfId="8" applyFont="1" applyBorder="1" applyAlignment="1">
      <alignment horizontal="left" indent="1"/>
    </xf>
    <xf numFmtId="0" fontId="1" fillId="12" borderId="1" xfId="8" applyBorder="1" applyAlignment="1">
      <alignment horizontal="left" indent="1"/>
    </xf>
    <xf numFmtId="0" fontId="0" fillId="12" borderId="4" xfId="8" applyFont="1" applyBorder="1" applyAlignment="1">
      <alignment horizontal="left" wrapText="1"/>
    </xf>
    <xf numFmtId="0" fontId="0" fillId="12" borderId="14" xfId="8" applyFont="1" applyBorder="1" applyAlignment="1">
      <alignment horizontal="left"/>
    </xf>
    <xf numFmtId="0" fontId="0" fillId="12" borderId="5" xfId="8" applyFont="1" applyBorder="1" applyAlignment="1">
      <alignment horizontal="left"/>
    </xf>
    <xf numFmtId="0" fontId="7" fillId="15" borderId="21" xfId="13" applyNumberFormat="1" applyFont="1" applyBorder="1" applyAlignment="1">
      <alignment horizontal="left" vertical="center" indent="1"/>
      <protection locked="0"/>
    </xf>
    <xf numFmtId="0" fontId="7" fillId="15" borderId="33" xfId="13" applyNumberFormat="1" applyFont="1" applyBorder="1" applyAlignment="1">
      <alignment horizontal="left" vertical="center" indent="1"/>
      <protection locked="0"/>
    </xf>
    <xf numFmtId="0" fontId="9" fillId="0" borderId="0" xfId="0" applyFont="1"/>
    <xf numFmtId="0" fontId="8" fillId="0" borderId="0" xfId="0" applyFont="1"/>
    <xf numFmtId="0" fontId="4" fillId="12" borderId="6" xfId="8" applyFont="1" applyBorder="1" applyAlignment="1">
      <alignment vertical="center" wrapText="1"/>
    </xf>
    <xf numFmtId="0" fontId="4" fillId="12" borderId="9" xfId="8" applyFont="1" applyBorder="1" applyAlignment="1">
      <alignment vertical="center"/>
    </xf>
    <xf numFmtId="0" fontId="11" fillId="12" borderId="5" xfId="8" applyFont="1" applyBorder="1" applyAlignment="1">
      <alignment horizontal="center" vertical="center"/>
    </xf>
    <xf numFmtId="0" fontId="0" fillId="12" borderId="7" xfId="8" applyFont="1" applyBorder="1" applyAlignment="1">
      <alignment vertical="top" wrapText="1"/>
    </xf>
    <xf numFmtId="0" fontId="0" fillId="12" borderId="8" xfId="8" applyFont="1" applyBorder="1" applyAlignment="1">
      <alignment vertical="top" wrapText="1"/>
    </xf>
    <xf numFmtId="0" fontId="7" fillId="12" borderId="6" xfId="8" applyFont="1" applyBorder="1" applyAlignment="1">
      <alignment horizontal="left" vertical="center" wrapText="1" indent="1"/>
    </xf>
    <xf numFmtId="167" fontId="7" fillId="15" borderId="6" xfId="13" applyBorder="1">
      <alignment vertical="center"/>
      <protection locked="0"/>
    </xf>
    <xf numFmtId="0" fontId="7" fillId="12" borderId="7" xfId="8" applyFont="1" applyBorder="1" applyAlignment="1">
      <alignment horizontal="left" vertical="center" wrapText="1" indent="1"/>
    </xf>
    <xf numFmtId="167" fontId="7" fillId="15" borderId="7" xfId="13" applyBorder="1">
      <alignment vertical="center"/>
      <protection locked="0"/>
    </xf>
    <xf numFmtId="0" fontId="7" fillId="12" borderId="7" xfId="8" applyFont="1" applyBorder="1" applyAlignment="1">
      <alignment horizontal="left" vertical="center" indent="1"/>
    </xf>
    <xf numFmtId="167" fontId="7" fillId="15" borderId="8" xfId="13" applyBorder="1">
      <alignment vertical="center"/>
      <protection locked="0"/>
    </xf>
    <xf numFmtId="0" fontId="7" fillId="12" borderId="8" xfId="8" applyFont="1" applyBorder="1" applyAlignment="1">
      <alignment horizontal="left" vertical="center" wrapText="1"/>
    </xf>
    <xf numFmtId="0" fontId="7" fillId="12" borderId="7" xfId="8" applyFont="1" applyBorder="1" applyAlignment="1">
      <alignment horizontal="left" vertical="center" wrapText="1"/>
    </xf>
    <xf numFmtId="0" fontId="7" fillId="12" borderId="7" xfId="8" applyFont="1" applyBorder="1" applyAlignment="1"/>
    <xf numFmtId="0" fontId="12" fillId="0" borderId="0" xfId="0" applyFont="1" applyAlignment="1">
      <alignment horizontal="left" vertical="top" wrapText="1"/>
    </xf>
    <xf numFmtId="0" fontId="8" fillId="0" borderId="0" xfId="0" applyFont="1" applyAlignment="1">
      <alignment horizontal="left" vertical="top" wrapText="1"/>
    </xf>
    <xf numFmtId="0" fontId="4" fillId="12" borderId="3" xfId="8" applyFont="1" applyBorder="1" applyAlignment="1">
      <alignment vertical="center" wrapText="1"/>
    </xf>
    <xf numFmtId="0" fontId="4" fillId="12" borderId="9" xfId="8" applyFont="1" applyBorder="1" applyAlignment="1">
      <alignment vertical="center" wrapText="1"/>
    </xf>
    <xf numFmtId="0" fontId="7" fillId="12" borderId="12" xfId="8" applyFont="1" applyBorder="1" applyAlignment="1">
      <alignment vertical="top" wrapText="1"/>
    </xf>
    <xf numFmtId="0" fontId="4" fillId="12" borderId="6" xfId="8" applyFont="1" applyBorder="1" applyAlignment="1">
      <alignment horizontal="center" vertical="center" wrapText="1"/>
    </xf>
    <xf numFmtId="0" fontId="0" fillId="18" borderId="8" xfId="0" applyFill="1" applyBorder="1" applyAlignment="1">
      <alignment vertical="top" wrapText="1"/>
    </xf>
    <xf numFmtId="170" fontId="21" fillId="3" borderId="5" xfId="11" applyBorder="1" applyAlignment="1">
      <alignment horizontal="centerContinuous" vertical="center"/>
    </xf>
    <xf numFmtId="0" fontId="0" fillId="18" borderId="6" xfId="0" applyFill="1" applyBorder="1" applyAlignment="1">
      <alignment horizontal="left" vertical="top" wrapText="1" indent="1"/>
    </xf>
    <xf numFmtId="0" fontId="0" fillId="18" borderId="7" xfId="0" applyFill="1" applyBorder="1" applyAlignment="1">
      <alignment horizontal="left" vertical="top" wrapText="1" indent="1"/>
    </xf>
    <xf numFmtId="0" fontId="0" fillId="18" borderId="8" xfId="0" applyFill="1" applyBorder="1" applyAlignment="1">
      <alignment horizontal="left" vertical="top" wrapText="1" indent="1"/>
    </xf>
    <xf numFmtId="0" fontId="37" fillId="12" borderId="1" xfId="8" applyFont="1" applyBorder="1" applyAlignment="1">
      <alignment horizontal="center" vertical="top" wrapText="1"/>
    </xf>
    <xf numFmtId="0" fontId="34" fillId="12" borderId="1" xfId="8" applyFont="1" applyBorder="1" applyAlignment="1">
      <alignment horizontal="center" vertical="top" wrapText="1"/>
    </xf>
    <xf numFmtId="0" fontId="34" fillId="12" borderId="5" xfId="8" applyFont="1" applyBorder="1" applyAlignment="1">
      <alignment horizontal="center" vertical="center" wrapText="1"/>
    </xf>
    <xf numFmtId="0" fontId="7" fillId="15" borderId="6" xfId="13" applyNumberFormat="1" applyFont="1" applyBorder="1">
      <alignment vertical="center"/>
      <protection locked="0"/>
    </xf>
    <xf numFmtId="0" fontId="7" fillId="15" borderId="7" xfId="13" applyNumberFormat="1" applyFont="1" applyBorder="1">
      <alignment vertical="center"/>
      <protection locked="0"/>
    </xf>
    <xf numFmtId="0" fontId="0" fillId="16" borderId="7" xfId="14" applyNumberFormat="1" applyFont="1" applyBorder="1" applyAlignment="1">
      <alignment vertical="center"/>
    </xf>
    <xf numFmtId="167" fontId="7" fillId="5" borderId="1" xfId="5" applyBorder="1">
      <alignment vertical="center"/>
      <protection locked="0"/>
    </xf>
    <xf numFmtId="0" fontId="8" fillId="12" borderId="10" xfId="8" applyFont="1" applyBorder="1" applyAlignment="1">
      <alignment horizontal="left" indent="3"/>
    </xf>
    <xf numFmtId="3" fontId="7" fillId="5" borderId="7" xfId="5" applyNumberFormat="1" applyFont="1" applyBorder="1" applyAlignment="1">
      <alignment horizontal="center" vertical="center"/>
      <protection locked="0"/>
    </xf>
    <xf numFmtId="3" fontId="7" fillId="5" borderId="8" xfId="5" applyNumberFormat="1" applyFont="1" applyBorder="1" applyAlignment="1">
      <alignment horizontal="center" vertical="center"/>
      <protection locked="0"/>
    </xf>
    <xf numFmtId="0" fontId="11" fillId="12" borderId="4" xfId="8" applyFont="1" applyBorder="1" applyAlignment="1">
      <alignment horizontal="left" indent="1"/>
    </xf>
    <xf numFmtId="0" fontId="9" fillId="12" borderId="3" xfId="8" applyFont="1" applyBorder="1" applyAlignment="1">
      <alignment horizontal="left" indent="3"/>
    </xf>
    <xf numFmtId="167" fontId="7" fillId="6" borderId="2" xfId="6" applyNumberFormat="1" applyFont="1" applyBorder="1">
      <alignment vertical="center"/>
      <protection locked="0"/>
    </xf>
    <xf numFmtId="167" fontId="7" fillId="6" borderId="9" xfId="6" applyNumberFormat="1" applyFont="1" applyBorder="1">
      <alignment vertical="center"/>
      <protection locked="0"/>
    </xf>
    <xf numFmtId="0" fontId="9" fillId="12" borderId="10" xfId="8" applyFont="1" applyBorder="1" applyAlignment="1">
      <alignment horizontal="left" indent="3"/>
    </xf>
    <xf numFmtId="167" fontId="7" fillId="6" borderId="0" xfId="6" applyNumberFormat="1" applyFont="1" applyBorder="1">
      <alignment vertical="center"/>
      <protection locked="0"/>
    </xf>
    <xf numFmtId="0" fontId="9" fillId="12" borderId="13" xfId="8" applyFont="1" applyBorder="1" applyAlignment="1">
      <alignment horizontal="left" indent="3"/>
    </xf>
    <xf numFmtId="167" fontId="7" fillId="6" borderId="15" xfId="6" applyNumberFormat="1" applyFont="1" applyBorder="1">
      <alignment vertical="center"/>
      <protection locked="0"/>
    </xf>
    <xf numFmtId="0" fontId="0" fillId="12" borderId="6" xfId="8" applyFont="1" applyBorder="1" applyAlignment="1">
      <alignment horizontal="centerContinuous" vertical="center"/>
    </xf>
    <xf numFmtId="0" fontId="0" fillId="12" borderId="2" xfId="8" applyFont="1" applyBorder="1" applyAlignment="1">
      <alignment horizontal="centerContinuous"/>
    </xf>
    <xf numFmtId="0" fontId="0" fillId="12" borderId="9" xfId="8" applyFont="1" applyBorder="1" applyAlignment="1">
      <alignment horizontal="centerContinuous"/>
    </xf>
    <xf numFmtId="0" fontId="7" fillId="12" borderId="6" xfId="8" applyFont="1" applyBorder="1" applyAlignment="1">
      <alignment horizontal="centerContinuous" vertical="center"/>
    </xf>
    <xf numFmtId="0" fontId="38" fillId="0" borderId="0" xfId="0" applyFont="1"/>
    <xf numFmtId="0" fontId="4" fillId="12" borderId="1" xfId="8" applyFont="1" applyBorder="1" applyAlignment="1">
      <alignment horizontal="center" vertical="center"/>
    </xf>
    <xf numFmtId="0" fontId="11" fillId="12" borderId="7" xfId="8" applyFont="1" applyBorder="1" applyAlignment="1"/>
    <xf numFmtId="3" fontId="7" fillId="6" borderId="6" xfId="6" applyNumberFormat="1" applyFont="1" applyBorder="1" applyAlignment="1">
      <alignment horizontal="center" vertical="center"/>
      <protection locked="0"/>
    </xf>
    <xf numFmtId="3" fontId="7" fillId="6" borderId="7" xfId="6" applyNumberFormat="1" applyFont="1" applyBorder="1" applyAlignment="1">
      <alignment horizontal="center" vertical="center"/>
      <protection locked="0"/>
    </xf>
    <xf numFmtId="0" fontId="11" fillId="12" borderId="7" xfId="8" applyFont="1" applyBorder="1" applyAlignment="1">
      <alignment horizontal="left" indent="1"/>
    </xf>
    <xf numFmtId="0" fontId="11" fillId="12" borderId="7" xfId="8" applyFont="1" applyBorder="1" applyAlignment="1">
      <alignment horizontal="left" indent="2"/>
    </xf>
    <xf numFmtId="0" fontId="36" fillId="12" borderId="7" xfId="8" applyFont="1" applyBorder="1" applyAlignment="1">
      <alignment horizontal="left" indent="4"/>
    </xf>
    <xf numFmtId="0" fontId="7" fillId="12" borderId="8" xfId="8" applyFont="1" applyBorder="1" applyAlignment="1">
      <alignment horizontal="left" indent="2"/>
    </xf>
    <xf numFmtId="3" fontId="7" fillId="6" borderId="8" xfId="6" applyNumberFormat="1" applyFont="1" applyBorder="1" applyAlignment="1">
      <alignment horizontal="center" vertical="center"/>
      <protection locked="0"/>
    </xf>
    <xf numFmtId="170" fontId="22" fillId="14" borderId="49" xfId="12" applyBorder="1">
      <alignment horizontal="center" vertical="center"/>
    </xf>
    <xf numFmtId="0" fontId="7" fillId="12" borderId="9" xfId="8" applyFont="1" applyBorder="1" applyAlignment="1"/>
    <xf numFmtId="0" fontId="12" fillId="12" borderId="9" xfId="8" applyFont="1" applyBorder="1" applyAlignment="1">
      <alignment horizontal="center"/>
    </xf>
    <xf numFmtId="0" fontId="12" fillId="12" borderId="6" xfId="8" applyFont="1" applyBorder="1" applyAlignment="1">
      <alignment horizontal="center"/>
    </xf>
    <xf numFmtId="0" fontId="11" fillId="12" borderId="4" xfId="8" applyFont="1" applyBorder="1" applyAlignment="1">
      <alignment horizontal="centerContinuous"/>
    </xf>
    <xf numFmtId="0" fontId="7" fillId="12" borderId="12" xfId="8" applyFont="1" applyBorder="1" applyAlignment="1"/>
    <xf numFmtId="0" fontId="4" fillId="12" borderId="1" xfId="8" applyFont="1" applyBorder="1" applyAlignment="1">
      <alignment horizontal="center"/>
    </xf>
    <xf numFmtId="0" fontId="0" fillId="12" borderId="6" xfId="8" applyFont="1" applyBorder="1" applyAlignment="1"/>
    <xf numFmtId="0" fontId="1" fillId="16" borderId="6" xfId="14" applyFont="1" applyBorder="1" applyAlignment="1">
      <alignment horizontal="center" vertical="center"/>
    </xf>
    <xf numFmtId="167" fontId="7" fillId="5" borderId="6" xfId="5" applyNumberFormat="1" applyFont="1" applyBorder="1">
      <alignment vertical="center"/>
      <protection locked="0"/>
    </xf>
    <xf numFmtId="167" fontId="11" fillId="6" borderId="6" xfId="6" applyNumberFormat="1" applyFont="1" applyBorder="1">
      <alignment vertical="center"/>
      <protection locked="0"/>
    </xf>
    <xf numFmtId="1" fontId="0" fillId="0" borderId="0" xfId="0" applyNumberFormat="1" applyAlignment="1">
      <alignment horizontal="center"/>
    </xf>
    <xf numFmtId="170" fontId="22" fillId="14" borderId="11" xfId="12" applyBorder="1">
      <alignment horizontal="center" vertical="center"/>
    </xf>
    <xf numFmtId="3" fontId="7" fillId="16" borderId="7" xfId="14" applyNumberFormat="1" applyFont="1" applyBorder="1" applyAlignment="1">
      <alignment vertical="center"/>
    </xf>
    <xf numFmtId="167" fontId="7" fillId="5" borderId="8" xfId="5" applyNumberFormat="1" applyFont="1" applyBorder="1">
      <alignment vertical="center"/>
      <protection locked="0"/>
    </xf>
    <xf numFmtId="3" fontId="7" fillId="16" borderId="8" xfId="14" applyNumberFormat="1" applyFont="1" applyBorder="1" applyAlignment="1">
      <alignment vertical="center"/>
    </xf>
    <xf numFmtId="0" fontId="4" fillId="12" borderId="7" xfId="8" applyFont="1" applyBorder="1" applyAlignment="1"/>
    <xf numFmtId="166" fontId="6" fillId="3" borderId="9" xfId="3" applyNumberFormat="1" applyBorder="1" applyAlignment="1">
      <alignment horizontal="center" vertical="center"/>
    </xf>
    <xf numFmtId="170" fontId="22" fillId="14" borderId="12" xfId="12" applyBorder="1">
      <alignment horizontal="center" vertical="center"/>
    </xf>
    <xf numFmtId="167" fontId="7" fillId="5" borderId="12" xfId="5" applyFont="1" applyBorder="1">
      <alignment vertical="center"/>
      <protection locked="0"/>
    </xf>
    <xf numFmtId="0" fontId="4" fillId="12" borderId="4" xfId="8" applyFont="1" applyBorder="1" applyAlignment="1">
      <alignment horizontal="centerContinuous"/>
    </xf>
    <xf numFmtId="0" fontId="4" fillId="12" borderId="14" xfId="8" applyFont="1" applyBorder="1" applyAlignment="1">
      <alignment horizontal="centerContinuous"/>
    </xf>
    <xf numFmtId="0" fontId="11" fillId="12" borderId="3" xfId="8" applyFont="1" applyBorder="1" applyAlignment="1">
      <alignment horizontal="left" vertical="center" indent="1"/>
    </xf>
    <xf numFmtId="0" fontId="1" fillId="12" borderId="6" xfId="8" applyFont="1" applyBorder="1" applyAlignment="1">
      <alignment horizontal="center" wrapText="1"/>
    </xf>
    <xf numFmtId="0" fontId="1" fillId="12" borderId="6" xfId="8" applyFont="1" applyBorder="1" applyAlignment="1">
      <alignment horizontal="center" vertical="center" wrapText="1"/>
    </xf>
    <xf numFmtId="0" fontId="1" fillId="12" borderId="6" xfId="8" applyFont="1" applyBorder="1" applyAlignment="1">
      <alignment horizontal="center" vertical="center"/>
    </xf>
    <xf numFmtId="0" fontId="11" fillId="12" borderId="8" xfId="8" applyFont="1" applyBorder="1" applyAlignment="1">
      <alignment horizontal="left" vertical="center" indent="1"/>
    </xf>
    <xf numFmtId="0" fontId="11" fillId="12" borderId="6" xfId="8" applyFont="1" applyBorder="1" applyAlignment="1"/>
    <xf numFmtId="0" fontId="1" fillId="16" borderId="7" xfId="14" applyFont="1" applyBorder="1" applyAlignment="1">
      <alignment horizontal="center" vertical="center"/>
    </xf>
    <xf numFmtId="0" fontId="7" fillId="12" borderId="8" xfId="8" applyFont="1" applyBorder="1" applyAlignment="1">
      <alignment horizontal="left" indent="3"/>
    </xf>
    <xf numFmtId="0" fontId="11" fillId="12" borderId="7" xfId="8" applyFont="1" applyBorder="1" applyAlignment="1">
      <alignment horizontal="left" vertical="center" indent="1"/>
    </xf>
    <xf numFmtId="0" fontId="1" fillId="12" borderId="8" xfId="8" applyFont="1" applyBorder="1" applyAlignment="1">
      <alignment horizontal="center" wrapText="1"/>
    </xf>
    <xf numFmtId="0" fontId="1" fillId="12" borderId="8" xfId="8" applyFont="1" applyBorder="1" applyAlignment="1">
      <alignment horizontal="center" vertical="center" wrapText="1"/>
    </xf>
    <xf numFmtId="0" fontId="1" fillId="12" borderId="8" xfId="8" applyFont="1" applyBorder="1" applyAlignment="1">
      <alignment horizontal="center" vertical="center"/>
    </xf>
    <xf numFmtId="0" fontId="11" fillId="12" borderId="6" xfId="8" applyFont="1" applyBorder="1" applyAlignment="1">
      <alignment horizontal="left" indent="1"/>
    </xf>
    <xf numFmtId="3" fontId="1" fillId="16" borderId="2" xfId="14" applyNumberFormat="1" applyFont="1" applyBorder="1" applyAlignment="1">
      <alignment horizontal="center" vertical="center"/>
    </xf>
    <xf numFmtId="167" fontId="7" fillId="5" borderId="10" xfId="5" applyNumberFormat="1" applyFont="1" applyBorder="1">
      <alignment vertical="center"/>
      <protection locked="0"/>
    </xf>
    <xf numFmtId="167" fontId="23" fillId="6" borderId="0" xfId="6" applyNumberFormat="1" applyFont="1" applyBorder="1">
      <alignment vertical="center"/>
      <protection locked="0"/>
    </xf>
    <xf numFmtId="3" fontId="6" fillId="3" borderId="0" xfId="3" applyNumberFormat="1" applyFont="1" applyBorder="1">
      <alignment vertical="center"/>
    </xf>
    <xf numFmtId="167" fontId="7" fillId="5" borderId="13" xfId="5" applyNumberFormat="1" applyFont="1" applyBorder="1">
      <alignment vertical="center"/>
      <protection locked="0"/>
    </xf>
    <xf numFmtId="167" fontId="23" fillId="6" borderId="15" xfId="6" applyNumberFormat="1" applyFont="1" applyBorder="1">
      <alignment vertical="center"/>
      <protection locked="0"/>
    </xf>
    <xf numFmtId="3" fontId="6" fillId="3" borderId="15" xfId="3" applyNumberFormat="1" applyFont="1" applyBorder="1">
      <alignment vertical="center"/>
    </xf>
    <xf numFmtId="1" fontId="17" fillId="0" borderId="0" xfId="0" applyNumberFormat="1" applyFont="1"/>
    <xf numFmtId="0" fontId="0" fillId="12" borderId="2" xfId="8" applyFont="1" applyBorder="1" applyAlignment="1">
      <alignment vertical="center" wrapText="1"/>
    </xf>
    <xf numFmtId="0" fontId="4" fillId="12" borderId="4" xfId="8" applyFont="1" applyBorder="1" applyAlignment="1">
      <alignment horizontal="centerContinuous" vertical="center" wrapText="1"/>
    </xf>
    <xf numFmtId="0" fontId="4" fillId="12" borderId="14" xfId="8" applyFont="1" applyBorder="1" applyAlignment="1">
      <alignment horizontal="centerContinuous" vertical="center" wrapText="1"/>
    </xf>
    <xf numFmtId="0" fontId="4" fillId="12" borderId="5" xfId="8" applyFont="1" applyBorder="1" applyAlignment="1">
      <alignment horizontal="centerContinuous" vertical="center" wrapText="1"/>
    </xf>
    <xf numFmtId="0" fontId="4" fillId="12" borderId="2" xfId="8" applyFont="1" applyBorder="1" applyAlignment="1">
      <alignment horizontal="center" vertical="center" wrapText="1"/>
    </xf>
    <xf numFmtId="0" fontId="0" fillId="12" borderId="6" xfId="8" applyFont="1" applyBorder="1" applyAlignment="1">
      <alignment horizontal="center" wrapText="1"/>
    </xf>
    <xf numFmtId="0" fontId="0" fillId="12" borderId="6" xfId="8" applyFont="1" applyBorder="1" applyAlignment="1">
      <alignment horizontal="center" vertical="center" wrapText="1"/>
    </xf>
    <xf numFmtId="0" fontId="0" fillId="12" borderId="15" xfId="8" applyFont="1" applyBorder="1" applyAlignment="1">
      <alignment vertical="center" wrapText="1"/>
    </xf>
    <xf numFmtId="0" fontId="4" fillId="12" borderId="4" xfId="8" applyFont="1" applyBorder="1" applyAlignment="1">
      <alignment horizontal="center" vertical="center" wrapText="1"/>
    </xf>
    <xf numFmtId="0" fontId="4" fillId="12" borderId="5" xfId="8" applyFont="1" applyBorder="1" applyAlignment="1">
      <alignment horizontal="center" vertical="center" wrapText="1"/>
    </xf>
    <xf numFmtId="0" fontId="4" fillId="12" borderId="15" xfId="8" applyFont="1" applyBorder="1" applyAlignment="1">
      <alignment horizontal="center" vertical="center" wrapText="1"/>
    </xf>
    <xf numFmtId="0" fontId="0" fillId="12" borderId="8" xfId="8" applyFont="1" applyBorder="1" applyAlignment="1">
      <alignment horizontal="center"/>
    </xf>
    <xf numFmtId="0" fontId="4" fillId="12" borderId="7" xfId="8" applyFont="1" applyBorder="1" applyAlignment="1">
      <alignment horizontal="center" vertical="center" wrapText="1"/>
    </xf>
    <xf numFmtId="0" fontId="4" fillId="12" borderId="8" xfId="8" applyFont="1" applyBorder="1" applyAlignment="1">
      <alignment horizontal="center" vertical="center" wrapText="1"/>
    </xf>
    <xf numFmtId="0" fontId="1" fillId="16" borderId="4" xfId="14" applyFont="1" applyBorder="1" applyAlignment="1">
      <alignment horizontal="center" vertical="center"/>
    </xf>
    <xf numFmtId="0" fontId="1" fillId="16" borderId="1" xfId="14" applyFont="1" applyBorder="1" applyAlignment="1">
      <alignment horizontal="center" vertical="center"/>
    </xf>
    <xf numFmtId="0" fontId="1" fillId="16" borderId="5" xfId="14" applyFont="1" applyBorder="1" applyAlignment="1">
      <alignment horizontal="center" vertical="center"/>
    </xf>
    <xf numFmtId="167" fontId="7" fillId="4" borderId="14" xfId="4" applyBorder="1">
      <alignment vertical="center"/>
      <protection locked="0"/>
    </xf>
    <xf numFmtId="167" fontId="0" fillId="6" borderId="5" xfId="6" applyNumberFormat="1" applyFont="1" applyBorder="1" applyAlignment="1" applyProtection="1">
      <alignment horizontal="center" vertical="center"/>
      <protection locked="0"/>
    </xf>
    <xf numFmtId="173" fontId="4" fillId="0" borderId="51" xfId="0" applyNumberFormat="1" applyFont="1" applyBorder="1" applyAlignment="1">
      <alignment horizontal="left" vertical="center" wrapText="1"/>
    </xf>
    <xf numFmtId="166" fontId="7" fillId="17" borderId="6" xfId="18" applyFont="1" applyBorder="1" applyAlignment="1">
      <alignment horizontal="right" vertical="center"/>
      <protection locked="0"/>
    </xf>
    <xf numFmtId="174" fontId="9" fillId="6" borderId="6" xfId="0" applyNumberFormat="1" applyFont="1" applyFill="1" applyBorder="1" applyAlignment="1">
      <alignment horizontal="center"/>
    </xf>
    <xf numFmtId="175" fontId="9" fillId="6" borderId="6" xfId="6" applyNumberFormat="1" applyFont="1" applyBorder="1" applyAlignment="1" applyProtection="1">
      <alignment horizontal="center" vertical="center"/>
      <protection locked="0"/>
    </xf>
    <xf numFmtId="175" fontId="6" fillId="3" borderId="0" xfId="3" applyNumberFormat="1" applyBorder="1">
      <alignment vertical="center"/>
    </xf>
    <xf numFmtId="166" fontId="7" fillId="17" borderId="7" xfId="18" applyFont="1" applyBorder="1" applyAlignment="1">
      <alignment horizontal="right" vertical="center"/>
      <protection locked="0"/>
    </xf>
    <xf numFmtId="174" fontId="9" fillId="6" borderId="7" xfId="0" applyNumberFormat="1" applyFont="1" applyFill="1" applyBorder="1" applyAlignment="1">
      <alignment horizontal="center"/>
    </xf>
    <xf numFmtId="175" fontId="9" fillId="6" borderId="7" xfId="6" applyNumberFormat="1" applyFont="1" applyBorder="1" applyAlignment="1" applyProtection="1">
      <alignment horizontal="center" vertical="center"/>
      <protection locked="0"/>
    </xf>
    <xf numFmtId="0" fontId="0" fillId="16" borderId="7" xfId="14" applyFont="1" applyBorder="1" applyAlignment="1">
      <alignment horizontal="center" vertical="center" wrapText="1"/>
    </xf>
    <xf numFmtId="0" fontId="4" fillId="0" borderId="0" xfId="0" applyFont="1" applyAlignment="1">
      <alignment horizontal="center"/>
    </xf>
    <xf numFmtId="176" fontId="4" fillId="0" borderId="0" xfId="0" applyNumberFormat="1" applyFont="1" applyAlignment="1">
      <alignment horizontal="center"/>
    </xf>
    <xf numFmtId="176" fontId="0" fillId="0" borderId="0" xfId="0" applyNumberFormat="1" applyFont="1"/>
    <xf numFmtId="169" fontId="31" fillId="3" borderId="3" xfId="10" applyFont="1" applyBorder="1">
      <alignment horizontal="center" vertical="center"/>
    </xf>
    <xf numFmtId="170" fontId="66" fillId="3" borderId="9" xfId="11" applyFont="1" applyBorder="1">
      <alignment horizontal="center" vertical="center"/>
    </xf>
    <xf numFmtId="170" fontId="6" fillId="14" borderId="49" xfId="12" applyFont="1" applyBorder="1">
      <alignment horizontal="center" vertical="center"/>
    </xf>
    <xf numFmtId="167" fontId="11" fillId="7" borderId="1" xfId="7" applyNumberFormat="1" applyFont="1" applyBorder="1">
      <alignment horizontal="center" vertical="center"/>
      <protection locked="0"/>
    </xf>
    <xf numFmtId="0" fontId="4" fillId="12" borderId="3" xfId="8" applyFont="1" applyBorder="1" applyAlignment="1">
      <alignment horizontal="center"/>
    </xf>
    <xf numFmtId="0" fontId="1" fillId="12" borderId="10" xfId="8" applyFont="1" applyBorder="1" applyAlignment="1">
      <alignment horizontal="left"/>
    </xf>
    <xf numFmtId="170" fontId="6" fillId="14" borderId="7" xfId="12" applyFont="1" applyBorder="1">
      <alignment horizontal="center" vertical="center"/>
    </xf>
    <xf numFmtId="167" fontId="0" fillId="6" borderId="6" xfId="6" applyNumberFormat="1" applyFont="1" applyBorder="1" applyProtection="1">
      <alignment vertical="center"/>
      <protection locked="0"/>
    </xf>
    <xf numFmtId="0" fontId="1" fillId="12" borderId="10" xfId="8" applyFont="1" applyBorder="1" applyAlignment="1">
      <alignment horizontal="left" indent="1"/>
    </xf>
    <xf numFmtId="167" fontId="0" fillId="5" borderId="7" xfId="5" applyFont="1" applyBorder="1">
      <alignment vertical="center"/>
      <protection locked="0"/>
    </xf>
    <xf numFmtId="167" fontId="0" fillId="6" borderId="7" xfId="6" applyNumberFormat="1" applyFont="1" applyBorder="1" applyProtection="1">
      <alignment vertical="center"/>
      <protection locked="0"/>
    </xf>
    <xf numFmtId="0" fontId="1" fillId="12" borderId="13" xfId="8" applyFont="1" applyBorder="1" applyAlignment="1"/>
    <xf numFmtId="170" fontId="6" fillId="14" borderId="8" xfId="12" applyFont="1" applyBorder="1">
      <alignment horizontal="center" vertical="center"/>
    </xf>
    <xf numFmtId="167" fontId="0" fillId="6" borderId="8" xfId="6" applyNumberFormat="1" applyFont="1" applyBorder="1" applyProtection="1">
      <alignment vertical="center"/>
      <protection locked="0"/>
    </xf>
    <xf numFmtId="0" fontId="4" fillId="12" borderId="41" xfId="8" applyFont="1" applyBorder="1" applyAlignment="1"/>
    <xf numFmtId="0" fontId="1" fillId="12" borderId="40" xfId="8" applyFont="1" applyBorder="1" applyAlignment="1"/>
    <xf numFmtId="0" fontId="0" fillId="12" borderId="40" xfId="8" applyFont="1" applyBorder="1" applyAlignment="1">
      <alignment horizontal="center"/>
    </xf>
    <xf numFmtId="0" fontId="1" fillId="12" borderId="108" xfId="8" applyFont="1" applyBorder="1" applyAlignment="1"/>
    <xf numFmtId="0" fontId="0" fillId="12" borderId="108" xfId="8" applyFont="1" applyBorder="1" applyAlignment="1"/>
    <xf numFmtId="0" fontId="1" fillId="12" borderId="45" xfId="8" applyFont="1" applyBorder="1" applyAlignment="1"/>
    <xf numFmtId="0" fontId="1" fillId="12" borderId="3" xfId="8" applyFont="1" applyBorder="1" applyAlignment="1"/>
    <xf numFmtId="170" fontId="66" fillId="3" borderId="2" xfId="11" applyFont="1" applyBorder="1">
      <alignment horizontal="center" vertical="center"/>
    </xf>
    <xf numFmtId="0" fontId="7" fillId="12" borderId="3" xfId="8" applyFont="1" applyBorder="1" applyAlignment="1">
      <alignment horizontal="center"/>
    </xf>
    <xf numFmtId="167" fontId="0" fillId="4" borderId="109" xfId="4" applyFont="1" applyBorder="1">
      <alignment vertical="center"/>
      <protection locked="0"/>
    </xf>
    <xf numFmtId="167" fontId="0" fillId="5" borderId="2" xfId="5" applyFont="1" applyBorder="1">
      <alignment vertical="center"/>
      <protection locked="0"/>
    </xf>
    <xf numFmtId="167" fontId="0" fillId="5" borderId="9" xfId="5" applyFont="1" applyBorder="1">
      <alignment vertical="center"/>
      <protection locked="0"/>
    </xf>
    <xf numFmtId="0" fontId="4" fillId="12" borderId="6" xfId="8" applyFont="1" applyBorder="1" applyAlignment="1">
      <alignment horizontal="center"/>
    </xf>
    <xf numFmtId="0" fontId="7" fillId="12" borderId="10" xfId="8" applyFont="1" applyBorder="1" applyAlignment="1">
      <alignment horizontal="center"/>
    </xf>
    <xf numFmtId="167" fontId="0" fillId="4" borderId="108" xfId="4" applyFont="1" applyBorder="1">
      <alignment vertical="center"/>
      <protection locked="0"/>
    </xf>
    <xf numFmtId="0" fontId="4" fillId="16" borderId="0" xfId="14" applyFont="1" applyBorder="1" applyAlignment="1">
      <alignment horizontal="center"/>
    </xf>
    <xf numFmtId="167" fontId="0" fillId="4" borderId="10" xfId="4" applyFont="1" applyBorder="1">
      <alignment vertical="center"/>
      <protection locked="0"/>
    </xf>
    <xf numFmtId="176" fontId="0" fillId="16" borderId="108" xfId="14" applyNumberFormat="1" applyFont="1" applyBorder="1"/>
    <xf numFmtId="176" fontId="4" fillId="16" borderId="108" xfId="14" applyNumberFormat="1" applyFont="1" applyBorder="1" applyAlignment="1">
      <alignment horizontal="center"/>
    </xf>
    <xf numFmtId="165" fontId="0" fillId="16" borderId="10" xfId="14" applyNumberFormat="1" applyFont="1" applyBorder="1"/>
    <xf numFmtId="165" fontId="0" fillId="16" borderId="108" xfId="14" applyNumberFormat="1" applyFont="1" applyBorder="1"/>
    <xf numFmtId="0" fontId="4" fillId="12" borderId="7" xfId="8" applyFont="1" applyBorder="1" applyAlignment="1">
      <alignment horizontal="center"/>
    </xf>
    <xf numFmtId="166" fontId="6" fillId="3" borderId="10" xfId="3" applyNumberFormat="1" applyFont="1" applyBorder="1" applyAlignment="1">
      <alignment horizontal="center" vertical="center"/>
    </xf>
    <xf numFmtId="167" fontId="0" fillId="6" borderId="10" xfId="6" applyNumberFormat="1" applyFont="1" applyBorder="1" applyProtection="1">
      <alignment vertical="center"/>
      <protection locked="0"/>
    </xf>
    <xf numFmtId="166" fontId="0" fillId="6" borderId="13" xfId="6" applyNumberFormat="1" applyFont="1" applyBorder="1" applyProtection="1">
      <alignment vertical="center"/>
      <protection locked="0"/>
    </xf>
    <xf numFmtId="176" fontId="0" fillId="16" borderId="110" xfId="14" applyNumberFormat="1" applyFont="1" applyBorder="1"/>
    <xf numFmtId="0" fontId="23" fillId="12" borderId="1" xfId="8" quotePrefix="1" applyFont="1" applyBorder="1" applyAlignment="1">
      <alignment horizontal="center"/>
    </xf>
    <xf numFmtId="0" fontId="23" fillId="12" borderId="4" xfId="8" quotePrefix="1" applyFont="1" applyBorder="1" applyAlignment="1">
      <alignment horizontal="right"/>
    </xf>
    <xf numFmtId="0" fontId="23" fillId="12" borderId="4" xfId="8" quotePrefix="1" applyFont="1" applyBorder="1" applyAlignment="1">
      <alignment horizontal="center"/>
    </xf>
    <xf numFmtId="0" fontId="23" fillId="12" borderId="5" xfId="8" quotePrefix="1" applyFont="1" applyBorder="1" applyAlignment="1">
      <alignment horizontal="center"/>
    </xf>
    <xf numFmtId="0" fontId="25" fillId="14" borderId="4" xfId="0" applyFont="1" applyFill="1" applyBorder="1" applyAlignment="1" applyProtection="1">
      <alignment horizontal="right"/>
    </xf>
    <xf numFmtId="167" fontId="25" fillId="6" borderId="5" xfId="6" applyNumberFormat="1" applyFont="1" applyBorder="1" applyAlignment="1" applyProtection="1">
      <alignment vertical="center"/>
      <protection locked="0"/>
    </xf>
    <xf numFmtId="0" fontId="25" fillId="14" borderId="14" xfId="0" applyFont="1" applyFill="1" applyBorder="1" applyAlignment="1" applyProtection="1">
      <alignment horizontal="right"/>
    </xf>
    <xf numFmtId="0" fontId="10" fillId="12" borderId="18" xfId="8" applyFont="1" applyBorder="1" applyAlignment="1"/>
    <xf numFmtId="0" fontId="25" fillId="14" borderId="10" xfId="0" applyFont="1" applyFill="1" applyBorder="1" applyAlignment="1" applyProtection="1">
      <alignment horizontal="right"/>
    </xf>
    <xf numFmtId="167" fontId="23" fillId="6" borderId="11" xfId="6" applyNumberFormat="1" applyFont="1" applyBorder="1" applyAlignment="1" applyProtection="1">
      <alignment vertical="center"/>
      <protection locked="0"/>
    </xf>
    <xf numFmtId="0" fontId="25" fillId="14" borderId="0" xfId="0" applyFont="1" applyFill="1" applyBorder="1" applyAlignment="1" applyProtection="1">
      <alignment horizontal="right"/>
    </xf>
    <xf numFmtId="0" fontId="23" fillId="12" borderId="21" xfId="8" quotePrefix="1" applyFont="1" applyBorder="1" applyAlignment="1">
      <alignment horizontal="left" indent="1"/>
    </xf>
    <xf numFmtId="168" fontId="23" fillId="16" borderId="25" xfId="14" applyNumberFormat="1" applyFont="1" applyBorder="1" applyAlignment="1"/>
    <xf numFmtId="167" fontId="23" fillId="5" borderId="24" xfId="5" applyFont="1" applyBorder="1" applyAlignment="1">
      <alignment vertical="center"/>
      <protection locked="0"/>
    </xf>
    <xf numFmtId="0" fontId="23" fillId="12" borderId="21" xfId="8" applyFont="1" applyBorder="1" applyAlignment="1">
      <alignment horizontal="left" wrapText="1" indent="1"/>
    </xf>
    <xf numFmtId="0" fontId="25" fillId="14" borderId="28" xfId="0" applyFont="1" applyFill="1" applyBorder="1" applyAlignment="1" applyProtection="1">
      <alignment horizontal="right"/>
    </xf>
    <xf numFmtId="167" fontId="23" fillId="6" borderId="32" xfId="6" applyNumberFormat="1" applyFont="1" applyBorder="1" applyAlignment="1" applyProtection="1">
      <alignment vertical="center"/>
      <protection locked="0"/>
    </xf>
    <xf numFmtId="0" fontId="25" fillId="14" borderId="31" xfId="0" applyFont="1" applyFill="1" applyBorder="1" applyAlignment="1" applyProtection="1">
      <alignment horizontal="right"/>
    </xf>
    <xf numFmtId="168" fontId="23" fillId="16" borderId="23" xfId="14" applyNumberFormat="1" applyFont="1" applyBorder="1" applyAlignment="1"/>
    <xf numFmtId="0" fontId="10" fillId="16" borderId="57" xfId="14" applyFont="1" applyBorder="1" applyAlignment="1">
      <alignment horizontal="left"/>
    </xf>
    <xf numFmtId="167" fontId="23" fillId="5" borderId="20" xfId="5" applyFont="1" applyBorder="1" applyAlignment="1">
      <alignment vertical="center"/>
      <protection locked="0"/>
    </xf>
    <xf numFmtId="0" fontId="10" fillId="16" borderId="19" xfId="14" applyFont="1" applyBorder="1" applyAlignment="1">
      <alignment horizontal="left"/>
    </xf>
    <xf numFmtId="168" fontId="23" fillId="16" borderId="28" xfId="14" applyNumberFormat="1" applyFont="1" applyBorder="1" applyAlignment="1"/>
    <xf numFmtId="167" fontId="23" fillId="5" borderId="32" xfId="5" applyFont="1" applyBorder="1" applyAlignment="1">
      <alignment vertical="center"/>
      <protection locked="0"/>
    </xf>
    <xf numFmtId="168" fontId="23" fillId="16" borderId="31" xfId="14" applyNumberFormat="1" applyFont="1" applyBorder="1" applyAlignment="1"/>
    <xf numFmtId="0" fontId="23" fillId="12" borderId="33" xfId="8" quotePrefix="1" applyFont="1" applyBorder="1" applyAlignment="1">
      <alignment horizontal="left" indent="1"/>
    </xf>
    <xf numFmtId="168" fontId="23" fillId="16" borderId="56" xfId="14" applyNumberFormat="1" applyFont="1" applyBorder="1" applyAlignment="1"/>
    <xf numFmtId="167" fontId="23" fillId="5" borderId="36" xfId="5" applyFont="1" applyBorder="1" applyAlignment="1">
      <alignment vertical="center"/>
      <protection locked="0"/>
    </xf>
    <xf numFmtId="168" fontId="23" fillId="3" borderId="35" xfId="0" applyNumberFormat="1" applyFont="1" applyFill="1" applyBorder="1" applyAlignment="1"/>
    <xf numFmtId="0" fontId="24" fillId="12" borderId="8" xfId="8" applyFont="1" applyBorder="1" applyAlignment="1"/>
    <xf numFmtId="168" fontId="25" fillId="3" borderId="4" xfId="0" applyNumberFormat="1" applyFont="1" applyFill="1" applyBorder="1" applyAlignment="1" applyProtection="1">
      <alignment horizontal="right"/>
    </xf>
    <xf numFmtId="167" fontId="25" fillId="6" borderId="1" xfId="6" applyNumberFormat="1" applyFont="1" applyBorder="1" applyAlignment="1" applyProtection="1">
      <alignment vertical="center"/>
      <protection locked="0"/>
    </xf>
    <xf numFmtId="168" fontId="25" fillId="3" borderId="14" xfId="0" applyNumberFormat="1" applyFont="1" applyFill="1" applyBorder="1" applyAlignment="1" applyProtection="1">
      <alignment horizontal="right"/>
    </xf>
    <xf numFmtId="0" fontId="10" fillId="12" borderId="60" xfId="8" applyFont="1" applyBorder="1" applyAlignment="1">
      <alignment horizontal="left"/>
    </xf>
    <xf numFmtId="167" fontId="23" fillId="6" borderId="7" xfId="6" applyNumberFormat="1" applyFont="1" applyBorder="1" applyAlignment="1" applyProtection="1">
      <alignment vertical="center"/>
      <protection locked="0"/>
    </xf>
    <xf numFmtId="167" fontId="23" fillId="5" borderId="21" xfId="5" applyFont="1" applyBorder="1" applyAlignment="1">
      <alignment vertical="center"/>
      <protection locked="0"/>
    </xf>
    <xf numFmtId="168" fontId="25" fillId="3" borderId="25" xfId="0" applyNumberFormat="1" applyFont="1" applyFill="1" applyBorder="1" applyAlignment="1" applyProtection="1">
      <alignment horizontal="right"/>
    </xf>
    <xf numFmtId="167" fontId="23" fillId="6" borderId="21" xfId="6" applyNumberFormat="1" applyFont="1" applyFill="1" applyBorder="1" applyAlignment="1" applyProtection="1">
      <alignment vertical="center"/>
      <protection locked="0"/>
    </xf>
    <xf numFmtId="168" fontId="25" fillId="3" borderId="23" xfId="0" applyNumberFormat="1" applyFont="1" applyFill="1" applyBorder="1" applyAlignment="1" applyProtection="1">
      <alignment horizontal="right"/>
    </xf>
    <xf numFmtId="167" fontId="23" fillId="6" borderId="21" xfId="6" applyNumberFormat="1" applyFont="1" applyBorder="1">
      <alignment vertical="center"/>
      <protection locked="0"/>
    </xf>
    <xf numFmtId="167" fontId="23" fillId="6" borderId="26" xfId="6" applyNumberFormat="1" applyFont="1" applyBorder="1">
      <alignment vertical="center"/>
      <protection locked="0"/>
    </xf>
    <xf numFmtId="168" fontId="23" fillId="16" borderId="21" xfId="14" applyNumberFormat="1" applyFont="1" applyBorder="1" applyAlignment="1"/>
    <xf numFmtId="167" fontId="7" fillId="6" borderId="33" xfId="4" applyFill="1" applyBorder="1" applyAlignment="1" applyProtection="1">
      <alignment vertical="center"/>
      <protection locked="0"/>
    </xf>
    <xf numFmtId="168" fontId="23" fillId="22" borderId="35" xfId="0" applyNumberFormat="1" applyFont="1" applyFill="1" applyBorder="1" applyAlignment="1" applyProtection="1"/>
    <xf numFmtId="169" fontId="20" fillId="3" borderId="10" xfId="10" applyBorder="1">
      <alignment horizontal="center" vertical="center"/>
    </xf>
    <xf numFmtId="0" fontId="10" fillId="18" borderId="1" xfId="0" applyFont="1" applyFill="1" applyBorder="1" applyAlignment="1" applyProtection="1">
      <alignment horizontal="left"/>
    </xf>
    <xf numFmtId="0" fontId="23" fillId="16" borderId="3" xfId="14" applyFont="1" applyBorder="1"/>
    <xf numFmtId="0" fontId="23" fillId="16" borderId="2" xfId="14" applyFont="1" applyBorder="1"/>
    <xf numFmtId="0" fontId="23" fillId="16" borderId="10" xfId="14" applyFont="1" applyBorder="1"/>
    <xf numFmtId="0" fontId="23" fillId="16" borderId="0" xfId="14" applyFont="1" applyBorder="1"/>
    <xf numFmtId="167" fontId="23" fillId="5" borderId="7" xfId="5" quotePrefix="1" applyFont="1" applyBorder="1" applyAlignment="1">
      <alignment vertical="center"/>
      <protection locked="0"/>
    </xf>
    <xf numFmtId="167" fontId="23" fillId="5" borderId="7" xfId="5" applyFont="1" applyBorder="1" applyAlignment="1">
      <alignment vertical="center"/>
      <protection locked="0"/>
    </xf>
    <xf numFmtId="167" fontId="23" fillId="6" borderId="7" xfId="6" applyNumberFormat="1" applyFont="1" applyBorder="1">
      <alignment vertical="center"/>
      <protection locked="0"/>
    </xf>
    <xf numFmtId="167" fontId="23" fillId="5" borderId="27" xfId="5" applyFont="1" applyBorder="1" applyAlignment="1">
      <alignment vertical="center"/>
      <protection locked="0"/>
    </xf>
    <xf numFmtId="0" fontId="23" fillId="12" borderId="34" xfId="8" quotePrefix="1" applyFont="1" applyBorder="1" applyAlignment="1">
      <alignment horizontal="left" indent="1"/>
    </xf>
    <xf numFmtId="0" fontId="23" fillId="16" borderId="13" xfId="14" applyFont="1" applyBorder="1"/>
    <xf numFmtId="0" fontId="23" fillId="16" borderId="15" xfId="14" applyFont="1" applyBorder="1"/>
    <xf numFmtId="167" fontId="23" fillId="6" borderId="27" xfId="6" applyNumberFormat="1" applyFont="1" applyBorder="1">
      <alignment vertical="center"/>
      <protection locked="0"/>
    </xf>
    <xf numFmtId="167" fontId="7" fillId="4" borderId="21" xfId="4" applyBorder="1" applyAlignment="1">
      <alignment vertical="center"/>
      <protection locked="0"/>
    </xf>
    <xf numFmtId="167" fontId="7" fillId="4" borderId="26" xfId="4" applyBorder="1" applyAlignment="1">
      <alignment vertical="center"/>
      <protection locked="0"/>
    </xf>
    <xf numFmtId="167" fontId="23" fillId="6" borderId="18" xfId="6" applyNumberFormat="1" applyFont="1" applyBorder="1" applyAlignment="1" applyProtection="1">
      <alignment vertical="center"/>
      <protection locked="0"/>
    </xf>
    <xf numFmtId="167" fontId="7" fillId="5" borderId="27" xfId="5" applyBorder="1">
      <alignment vertical="center"/>
      <protection locked="0"/>
    </xf>
    <xf numFmtId="167" fontId="7" fillId="4" borderId="27" xfId="4" applyBorder="1" applyAlignment="1">
      <alignment vertical="center"/>
      <protection locked="0"/>
    </xf>
    <xf numFmtId="167" fontId="23" fillId="5" borderId="6" xfId="5" quotePrefix="1" applyFont="1" applyBorder="1" applyAlignment="1">
      <alignment vertical="center"/>
      <protection locked="0"/>
    </xf>
    <xf numFmtId="0" fontId="23" fillId="12" borderId="25" xfId="8" applyFont="1" applyBorder="1" applyAlignment="1">
      <alignment horizontal="left"/>
    </xf>
    <xf numFmtId="0" fontId="26" fillId="12" borderId="9" xfId="8" applyFont="1" applyBorder="1" applyAlignment="1"/>
    <xf numFmtId="0" fontId="1" fillId="12" borderId="2" xfId="8" applyFont="1" applyBorder="1" applyAlignment="1"/>
    <xf numFmtId="0" fontId="1" fillId="12" borderId="9" xfId="8" applyFont="1" applyBorder="1" applyAlignment="1"/>
    <xf numFmtId="0" fontId="0" fillId="12" borderId="3" xfId="8" applyFont="1" applyBorder="1" applyAlignment="1">
      <alignment horizontal="centerContinuous" vertical="center" wrapText="1"/>
    </xf>
    <xf numFmtId="0" fontId="1" fillId="12" borderId="2" xfId="8" applyFont="1" applyBorder="1" applyAlignment="1">
      <alignment horizontal="centerContinuous" vertical="center" wrapText="1"/>
    </xf>
    <xf numFmtId="0" fontId="1" fillId="12" borderId="9" xfId="8" applyFont="1" applyBorder="1" applyAlignment="1">
      <alignment horizontal="centerContinuous" vertical="center" wrapText="1"/>
    </xf>
    <xf numFmtId="0" fontId="10" fillId="12" borderId="10" xfId="8" applyFont="1" applyBorder="1" applyAlignment="1">
      <alignment horizontal="left" vertical="center"/>
    </xf>
    <xf numFmtId="0" fontId="26" fillId="12" borderId="12" xfId="8" applyFont="1" applyBorder="1" applyAlignment="1"/>
    <xf numFmtId="0" fontId="1" fillId="12" borderId="13" xfId="8" applyFont="1" applyBorder="1" applyAlignment="1">
      <alignment horizontal="center" wrapText="1"/>
    </xf>
    <xf numFmtId="0" fontId="1" fillId="12" borderId="15" xfId="8" applyFont="1" applyBorder="1" applyAlignment="1">
      <alignment horizontal="center" wrapText="1"/>
    </xf>
    <xf numFmtId="0" fontId="1" fillId="12" borderId="15" xfId="8" applyFont="1" applyBorder="1" applyAlignment="1">
      <alignment horizontal="center"/>
    </xf>
    <xf numFmtId="0" fontId="1" fillId="12" borderId="12" xfId="8" applyFont="1" applyBorder="1" applyAlignment="1">
      <alignment horizontal="center" wrapText="1"/>
    </xf>
    <xf numFmtId="0" fontId="23" fillId="12" borderId="7" xfId="8" applyFont="1" applyBorder="1" applyAlignment="1"/>
    <xf numFmtId="0" fontId="11" fillId="12" borderId="6" xfId="8" applyFont="1" applyBorder="1" applyAlignment="1">
      <alignment horizontal="left" indent="2"/>
    </xf>
    <xf numFmtId="167" fontId="7" fillId="6" borderId="10" xfId="6" applyNumberFormat="1" applyFont="1" applyBorder="1" applyProtection="1">
      <alignment vertical="center"/>
      <protection locked="0"/>
    </xf>
    <xf numFmtId="167" fontId="7" fillId="16" borderId="10" xfId="14" applyNumberFormat="1" applyFont="1" applyBorder="1" applyAlignment="1">
      <alignment vertical="center"/>
    </xf>
    <xf numFmtId="167" fontId="7" fillId="16" borderId="11" xfId="14" applyNumberFormat="1" applyFont="1" applyBorder="1" applyAlignment="1">
      <alignment vertical="center"/>
    </xf>
    <xf numFmtId="167" fontId="7" fillId="4" borderId="10" xfId="4" applyBorder="1">
      <alignment vertical="center"/>
      <protection locked="0"/>
    </xf>
    <xf numFmtId="167" fontId="7" fillId="16" borderId="0" xfId="14" applyNumberFormat="1" applyFont="1" applyBorder="1" applyAlignment="1">
      <alignment vertical="center"/>
    </xf>
    <xf numFmtId="0" fontId="23" fillId="12" borderId="7" xfId="8" applyFont="1" applyBorder="1" applyAlignment="1">
      <alignment horizontal="left" indent="3"/>
    </xf>
    <xf numFmtId="0" fontId="11" fillId="12" borderId="8" xfId="8" applyFont="1" applyBorder="1" applyAlignment="1">
      <alignment horizontal="left" wrapText="1"/>
    </xf>
    <xf numFmtId="167" fontId="7" fillId="16" borderId="13" xfId="14" applyNumberFormat="1" applyFont="1" applyBorder="1" applyAlignment="1">
      <alignment vertical="center"/>
    </xf>
    <xf numFmtId="167" fontId="7" fillId="16" borderId="15" xfId="14" applyNumberFormat="1" applyFont="1" applyBorder="1" applyAlignment="1">
      <alignment vertical="center"/>
    </xf>
    <xf numFmtId="167" fontId="7" fillId="16" borderId="12" xfId="14" applyNumberFormat="1" applyFont="1" applyBorder="1" applyAlignment="1">
      <alignment vertical="center"/>
    </xf>
    <xf numFmtId="167" fontId="7" fillId="4" borderId="13" xfId="4" applyBorder="1">
      <alignment vertical="center"/>
      <protection locked="0"/>
    </xf>
    <xf numFmtId="167" fontId="7" fillId="4" borderId="15" xfId="4" applyBorder="1">
      <alignment vertical="center"/>
      <protection locked="0"/>
    </xf>
    <xf numFmtId="167" fontId="7" fillId="6" borderId="3" xfId="6" applyNumberFormat="1" applyFont="1" applyBorder="1" applyProtection="1">
      <alignment vertical="center"/>
      <protection locked="0"/>
    </xf>
    <xf numFmtId="167" fontId="7" fillId="6" borderId="2" xfId="6" applyNumberFormat="1" applyFont="1" applyBorder="1" applyProtection="1">
      <alignment vertical="center"/>
      <protection locked="0"/>
    </xf>
    <xf numFmtId="167" fontId="7" fillId="6" borderId="9" xfId="6" applyNumberFormat="1" applyFont="1" applyBorder="1" applyProtection="1">
      <alignment vertical="center"/>
      <protection locked="0"/>
    </xf>
    <xf numFmtId="167" fontId="7" fillId="16" borderId="3" xfId="14" applyNumberFormat="1" applyFont="1" applyBorder="1" applyAlignment="1">
      <alignment vertical="center"/>
    </xf>
    <xf numFmtId="167" fontId="7" fillId="16" borderId="2" xfId="14" applyNumberFormat="1" applyFont="1" applyBorder="1" applyAlignment="1">
      <alignment vertical="center"/>
    </xf>
    <xf numFmtId="167" fontId="7" fillId="16" borderId="9" xfId="14" applyNumberFormat="1" applyFont="1" applyBorder="1" applyAlignment="1">
      <alignment vertical="center"/>
    </xf>
    <xf numFmtId="167" fontId="7" fillId="6" borderId="15" xfId="6" applyNumberFormat="1" applyFont="1" applyBorder="1" applyProtection="1">
      <alignment vertical="center"/>
      <protection locked="0"/>
    </xf>
    <xf numFmtId="0" fontId="57" fillId="3" borderId="3" xfId="19" quotePrefix="1" applyFill="1" applyBorder="1" applyAlignment="1">
      <alignment horizontal="center" vertical="center"/>
    </xf>
    <xf numFmtId="0" fontId="57" fillId="3" borderId="10" xfId="19" quotePrefix="1" applyFill="1" applyBorder="1" applyAlignment="1">
      <alignment horizontal="center" vertical="center"/>
    </xf>
    <xf numFmtId="0" fontId="57" fillId="3" borderId="0" xfId="19" quotePrefix="1" applyFill="1" applyBorder="1" applyAlignment="1">
      <alignment horizontal="center" vertical="center"/>
    </xf>
    <xf numFmtId="0" fontId="57" fillId="3" borderId="11" xfId="19" quotePrefix="1" applyFill="1" applyBorder="1" applyAlignment="1">
      <alignment horizontal="center" vertical="center"/>
    </xf>
    <xf numFmtId="0" fontId="57" fillId="3" borderId="13" xfId="19" quotePrefix="1" applyFill="1" applyBorder="1" applyAlignment="1">
      <alignment horizontal="center" vertical="center"/>
    </xf>
    <xf numFmtId="0" fontId="0" fillId="0" borderId="0" xfId="0" applyAlignment="1">
      <alignment horizontal="right"/>
    </xf>
    <xf numFmtId="167" fontId="7" fillId="4" borderId="7" xfId="4" applyBorder="1" applyProtection="1">
      <alignment vertical="center"/>
      <protection locked="0"/>
    </xf>
    <xf numFmtId="0" fontId="4" fillId="12" borderId="13" xfId="8" applyFont="1" applyBorder="1" applyAlignment="1">
      <alignment vertical="center"/>
    </xf>
    <xf numFmtId="167" fontId="7" fillId="4" borderId="5" xfId="4" applyBorder="1">
      <alignment vertical="center"/>
      <protection locked="0"/>
    </xf>
    <xf numFmtId="167" fontId="7" fillId="4" borderId="4" xfId="4" applyBorder="1">
      <alignment vertical="center"/>
      <protection locked="0"/>
    </xf>
    <xf numFmtId="0" fontId="27" fillId="12" borderId="1" xfId="8" applyFont="1" applyBorder="1" applyAlignment="1"/>
    <xf numFmtId="0" fontId="22" fillId="12" borderId="7" xfId="8" applyFont="1" applyBorder="1" applyAlignment="1">
      <alignment horizontal="center" vertical="center"/>
    </xf>
    <xf numFmtId="0" fontId="3" fillId="12" borderId="14" xfId="8" applyFont="1" applyBorder="1" applyAlignment="1"/>
    <xf numFmtId="0" fontId="3" fillId="12" borderId="5" xfId="8" applyFont="1" applyBorder="1" applyAlignment="1"/>
    <xf numFmtId="0" fontId="7" fillId="15" borderId="4" xfId="13" applyNumberFormat="1" applyFont="1" applyBorder="1">
      <alignment vertical="center"/>
      <protection locked="0"/>
    </xf>
    <xf numFmtId="0" fontId="23" fillId="15" borderId="1" xfId="13" applyNumberFormat="1" applyFont="1" applyBorder="1">
      <alignment vertical="center"/>
      <protection locked="0"/>
    </xf>
    <xf numFmtId="0" fontId="7" fillId="15" borderId="3" xfId="13" applyNumberFormat="1" applyFont="1" applyBorder="1">
      <alignment vertical="center"/>
      <protection locked="0"/>
    </xf>
    <xf numFmtId="0" fontId="23" fillId="15" borderId="6" xfId="13" applyNumberFormat="1" applyFont="1" applyBorder="1">
      <alignment vertical="center"/>
      <protection locked="0"/>
    </xf>
    <xf numFmtId="170" fontId="22" fillId="14" borderId="108" xfId="12" applyBorder="1">
      <alignment horizontal="center" vertical="center"/>
    </xf>
    <xf numFmtId="170" fontId="22" fillId="14" borderId="50" xfId="12" applyBorder="1">
      <alignment horizontal="center" vertical="center"/>
    </xf>
    <xf numFmtId="0" fontId="9" fillId="0" borderId="4" xfId="2" applyFont="1" applyBorder="1"/>
    <xf numFmtId="177" fontId="6" fillId="14" borderId="1" xfId="2" applyNumberFormat="1" applyFont="1" applyFill="1" applyBorder="1" applyAlignment="1">
      <alignment horizontal="center" vertical="center"/>
    </xf>
    <xf numFmtId="0" fontId="9" fillId="0" borderId="5" xfId="2" applyFont="1" applyBorder="1"/>
    <xf numFmtId="170" fontId="6" fillId="14" borderId="0" xfId="2" applyNumberFormat="1" applyFont="1" applyFill="1" applyAlignment="1">
      <alignment horizontal="center" vertical="center"/>
    </xf>
    <xf numFmtId="3" fontId="0" fillId="0" borderId="0" xfId="2" applyNumberFormat="1" applyFont="1"/>
    <xf numFmtId="0" fontId="0" fillId="0" borderId="0" xfId="2" applyFont="1" applyAlignment="1">
      <alignment horizontal="left" indent="1"/>
    </xf>
    <xf numFmtId="0" fontId="7" fillId="0" borderId="0" xfId="2" applyFont="1" applyAlignment="1">
      <alignment horizontal="left" indent="1"/>
    </xf>
    <xf numFmtId="0" fontId="0" fillId="0" borderId="0" xfId="2" applyFont="1" applyAlignment="1">
      <alignment horizontal="left" indent="2"/>
    </xf>
    <xf numFmtId="0" fontId="0" fillId="0" borderId="0" xfId="2" applyFont="1" applyAlignment="1">
      <alignment horizontal="left" indent="3"/>
    </xf>
    <xf numFmtId="0" fontId="0" fillId="0" borderId="0" xfId="0" applyAlignment="1">
      <alignment horizontal="left" indent="3"/>
    </xf>
    <xf numFmtId="0" fontId="0" fillId="0" borderId="0" xfId="0" applyAlignment="1">
      <alignment horizontal="left" indent="2"/>
    </xf>
    <xf numFmtId="0" fontId="0" fillId="0" borderId="0" xfId="0" applyAlignment="1">
      <alignment horizontal="left" indent="1"/>
    </xf>
    <xf numFmtId="0" fontId="57" fillId="0" borderId="0" xfId="19"/>
    <xf numFmtId="0" fontId="6" fillId="0" borderId="111" xfId="0" applyFont="1" applyBorder="1" applyAlignment="1">
      <alignment horizontal="left" wrapText="1"/>
    </xf>
    <xf numFmtId="0" fontId="6" fillId="0" borderId="112" xfId="0" applyFont="1" applyBorder="1" applyAlignment="1">
      <alignment horizontal="left" wrapText="1"/>
    </xf>
    <xf numFmtId="0" fontId="6" fillId="0" borderId="113" xfId="0" applyFont="1" applyBorder="1" applyAlignment="1">
      <alignment horizontal="left" wrapText="1"/>
    </xf>
    <xf numFmtId="0" fontId="7" fillId="15" borderId="4" xfId="13" applyNumberFormat="1" applyFont="1" applyBorder="1" applyAlignment="1">
      <alignment horizontal="left" vertical="center"/>
      <protection locked="0"/>
    </xf>
    <xf numFmtId="0" fontId="0" fillId="15" borderId="5" xfId="13" applyNumberFormat="1" applyFont="1" applyBorder="1" applyAlignment="1">
      <alignment horizontal="left" vertical="center"/>
      <protection locked="0"/>
    </xf>
    <xf numFmtId="0" fontId="1" fillId="12" borderId="1" xfId="8" applyBorder="1" applyAlignment="1">
      <alignment horizontal="center" vertical="center"/>
    </xf>
    <xf numFmtId="0" fontId="1" fillId="12" borderId="6" xfId="8" applyBorder="1" applyAlignment="1">
      <alignment horizontal="center" vertical="center"/>
    </xf>
    <xf numFmtId="0" fontId="0" fillId="12" borderId="1" xfId="8" applyFont="1" applyBorder="1" applyAlignment="1">
      <alignment horizontal="center" vertical="center" wrapText="1"/>
    </xf>
    <xf numFmtId="0" fontId="1" fillId="12" borderId="6" xfId="8"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11" fillId="12" borderId="4" xfId="8" applyFont="1" applyBorder="1" applyAlignment="1">
      <alignment horizontal="center" vertical="center"/>
    </xf>
    <xf numFmtId="0" fontId="11" fillId="12" borderId="14" xfId="8" applyFont="1" applyBorder="1" applyAlignment="1">
      <alignment horizontal="center" vertical="center"/>
    </xf>
    <xf numFmtId="0" fontId="11" fillId="12" borderId="5" xfId="8" applyFont="1" applyBorder="1" applyAlignment="1">
      <alignment horizontal="center" vertical="center"/>
    </xf>
    <xf numFmtId="0" fontId="7" fillId="12" borderId="6" xfId="8" applyFont="1" applyBorder="1" applyAlignment="1">
      <alignment horizontal="center" vertical="center" wrapText="1"/>
    </xf>
    <xf numFmtId="0" fontId="7" fillId="12" borderId="7" xfId="8" applyFont="1" applyBorder="1" applyAlignment="1">
      <alignment horizontal="center" vertical="center" wrapText="1"/>
    </xf>
    <xf numFmtId="0" fontId="7" fillId="12" borderId="8" xfId="8" applyFont="1" applyBorder="1" applyAlignment="1">
      <alignment horizontal="center" vertical="center" wrapText="1"/>
    </xf>
    <xf numFmtId="0" fontId="7" fillId="12" borderId="3" xfId="8" applyFont="1" applyBorder="1" applyAlignment="1">
      <alignment horizontal="center" vertical="center" wrapText="1"/>
    </xf>
    <xf numFmtId="0" fontId="7" fillId="12" borderId="9" xfId="8" applyFont="1" applyBorder="1" applyAlignment="1">
      <alignment horizontal="center" vertical="center" wrapText="1"/>
    </xf>
    <xf numFmtId="0" fontId="7" fillId="12" borderId="57" xfId="8" applyFont="1" applyBorder="1" applyAlignment="1">
      <alignment horizontal="center" vertical="center" wrapText="1"/>
    </xf>
    <xf numFmtId="0" fontId="7" fillId="12" borderId="20" xfId="8" applyFont="1" applyBorder="1" applyAlignment="1">
      <alignment horizontal="center" vertical="center" wrapText="1"/>
    </xf>
    <xf numFmtId="0" fontId="11" fillId="12" borderId="4" xfId="8" applyFont="1" applyBorder="1" applyAlignment="1">
      <alignment horizontal="center" vertical="center" wrapText="1"/>
    </xf>
    <xf numFmtId="0" fontId="11" fillId="12" borderId="5" xfId="8" applyFont="1" applyBorder="1" applyAlignment="1">
      <alignment horizontal="center" vertical="center" wrapText="1"/>
    </xf>
    <xf numFmtId="0" fontId="7" fillId="12" borderId="13" xfId="8" applyFont="1" applyBorder="1" applyAlignment="1">
      <alignment horizontal="center" vertical="center" wrapText="1"/>
    </xf>
    <xf numFmtId="0" fontId="7" fillId="12" borderId="12" xfId="8" applyFont="1" applyBorder="1" applyAlignment="1">
      <alignment horizontal="center" vertical="center" wrapText="1"/>
    </xf>
    <xf numFmtId="0" fontId="7" fillId="12" borderId="4" xfId="8" applyFont="1" applyBorder="1" applyAlignment="1">
      <alignment horizontal="center" vertical="center" wrapText="1"/>
    </xf>
    <xf numFmtId="0" fontId="7" fillId="12" borderId="14" xfId="8" applyFont="1" applyBorder="1" applyAlignment="1">
      <alignment horizontal="center" vertical="center" wrapText="1"/>
    </xf>
    <xf numFmtId="0" fontId="7" fillId="12" borderId="5" xfId="8" applyFont="1" applyBorder="1" applyAlignment="1">
      <alignment horizontal="center" vertical="center" wrapText="1"/>
    </xf>
    <xf numFmtId="0" fontId="6" fillId="3" borderId="6" xfId="3" applyNumberFormat="1" applyBorder="1" applyAlignment="1">
      <alignment horizontal="center" vertical="center" wrapText="1"/>
    </xf>
    <xf numFmtId="0" fontId="6" fillId="3" borderId="8" xfId="3" applyNumberFormat="1" applyBorder="1" applyAlignment="1">
      <alignment horizontal="center" vertical="center" wrapText="1"/>
    </xf>
    <xf numFmtId="0" fontId="7" fillId="20" borderId="0" xfId="0" applyFont="1" applyFill="1" applyAlignment="1">
      <alignment horizontal="left"/>
    </xf>
    <xf numFmtId="0" fontId="7" fillId="12" borderId="2" xfId="8" applyFont="1" applyBorder="1" applyAlignment="1">
      <alignment horizontal="center" vertical="center" wrapText="1"/>
    </xf>
    <xf numFmtId="0" fontId="7" fillId="12" borderId="19" xfId="8" applyFont="1" applyBorder="1" applyAlignment="1">
      <alignment horizontal="center" vertical="center" wrapText="1"/>
    </xf>
    <xf numFmtId="0" fontId="7" fillId="21" borderId="3" xfId="0" applyFont="1" applyFill="1" applyBorder="1" applyAlignment="1">
      <alignment horizontal="center" vertical="center" wrapText="1"/>
    </xf>
    <xf numFmtId="0" fontId="7" fillId="21" borderId="9" xfId="0" applyFont="1" applyFill="1" applyBorder="1" applyAlignment="1">
      <alignment horizontal="center" vertical="center" wrapText="1"/>
    </xf>
    <xf numFmtId="0" fontId="7" fillId="21" borderId="13" xfId="0" applyFont="1" applyFill="1" applyBorder="1" applyAlignment="1">
      <alignment horizontal="center" vertical="center" wrapText="1"/>
    </xf>
    <xf numFmtId="0" fontId="7" fillId="21" borderId="12" xfId="0" applyFont="1" applyFill="1" applyBorder="1" applyAlignment="1">
      <alignment horizontal="center" vertical="center" wrapText="1"/>
    </xf>
    <xf numFmtId="0" fontId="7" fillId="21" borderId="6" xfId="0" applyFont="1" applyFill="1" applyBorder="1" applyAlignment="1">
      <alignment horizontal="center" vertical="center" wrapText="1"/>
    </xf>
    <xf numFmtId="0" fontId="7" fillId="21" borderId="7" xfId="0" applyFont="1" applyFill="1" applyBorder="1" applyAlignment="1">
      <alignment horizontal="center" vertical="center" wrapText="1"/>
    </xf>
    <xf numFmtId="0" fontId="7" fillId="21" borderId="8" xfId="0" applyFont="1" applyFill="1" applyBorder="1" applyAlignment="1">
      <alignment horizontal="center" vertical="center" wrapText="1"/>
    </xf>
    <xf numFmtId="0" fontId="7" fillId="21" borderId="57" xfId="0" applyFont="1" applyFill="1" applyBorder="1" applyAlignment="1">
      <alignment horizontal="center" vertical="center" wrapText="1"/>
    </xf>
    <xf numFmtId="0" fontId="7" fillId="21" borderId="20" xfId="0" applyFont="1" applyFill="1" applyBorder="1" applyAlignment="1">
      <alignment horizontal="center" vertical="center" wrapText="1"/>
    </xf>
    <xf numFmtId="0" fontId="7" fillId="21" borderId="10" xfId="0" applyFont="1" applyFill="1" applyBorder="1" applyAlignment="1">
      <alignment horizontal="center" vertical="center" wrapText="1"/>
    </xf>
    <xf numFmtId="167" fontId="7" fillId="5" borderId="4" xfId="5" applyBorder="1" applyAlignment="1">
      <alignment horizontal="center" vertical="center"/>
      <protection locked="0"/>
    </xf>
    <xf numFmtId="167" fontId="7" fillId="5" borderId="5" xfId="5" applyBorder="1" applyAlignment="1">
      <alignment horizontal="center" vertical="center"/>
      <protection locked="0"/>
    </xf>
    <xf numFmtId="0" fontId="7" fillId="12" borderId="5" xfId="8" applyFont="1" applyBorder="1" applyAlignment="1">
      <alignment horizontal="center" wrapText="1"/>
    </xf>
    <xf numFmtId="0" fontId="7" fillId="12" borderId="1" xfId="8" applyFont="1" applyBorder="1" applyAlignment="1">
      <alignment horizontal="center" wrapText="1"/>
    </xf>
    <xf numFmtId="0" fontId="7" fillId="15" borderId="3" xfId="13" applyNumberFormat="1" applyFont="1" applyBorder="1" applyAlignment="1">
      <alignment horizontal="center" vertical="top"/>
      <protection locked="0"/>
    </xf>
    <xf numFmtId="0" fontId="0" fillId="15" borderId="2" xfId="13" applyNumberFormat="1" applyFont="1" applyBorder="1" applyAlignment="1">
      <alignment horizontal="center" vertical="top"/>
      <protection locked="0"/>
    </xf>
    <xf numFmtId="0" fontId="0" fillId="15" borderId="9" xfId="13" applyNumberFormat="1" applyFont="1" applyBorder="1" applyAlignment="1">
      <alignment horizontal="center" vertical="top"/>
      <protection locked="0"/>
    </xf>
    <xf numFmtId="0" fontId="0" fillId="15" borderId="10" xfId="13" applyNumberFormat="1" applyFont="1" applyBorder="1" applyAlignment="1">
      <alignment horizontal="center" vertical="top"/>
      <protection locked="0"/>
    </xf>
    <xf numFmtId="0" fontId="0" fillId="15" borderId="0" xfId="13" applyNumberFormat="1" applyFont="1" applyBorder="1" applyAlignment="1">
      <alignment horizontal="center" vertical="top"/>
      <protection locked="0"/>
    </xf>
    <xf numFmtId="0" fontId="0" fillId="15" borderId="11" xfId="13" applyNumberFormat="1" applyFont="1" applyBorder="1" applyAlignment="1">
      <alignment horizontal="center" vertical="top"/>
      <protection locked="0"/>
    </xf>
    <xf numFmtId="0" fontId="7" fillId="15" borderId="10" xfId="13" applyNumberFormat="1" applyFont="1" applyBorder="1" applyAlignment="1">
      <alignment horizontal="center" vertical="top"/>
      <protection locked="0"/>
    </xf>
    <xf numFmtId="0" fontId="7" fillId="15" borderId="13" xfId="13" applyNumberFormat="1" applyFont="1" applyBorder="1" applyAlignment="1">
      <alignment horizontal="center" vertical="top"/>
      <protection locked="0"/>
    </xf>
    <xf numFmtId="0" fontId="0" fillId="15" borderId="15" xfId="13" applyNumberFormat="1" applyFont="1" applyBorder="1" applyAlignment="1">
      <alignment horizontal="center" vertical="top"/>
      <protection locked="0"/>
    </xf>
    <xf numFmtId="0" fontId="0" fillId="15" borderId="12" xfId="13" applyNumberFormat="1" applyFont="1" applyBorder="1" applyAlignment="1">
      <alignment horizontal="center" vertical="top"/>
      <protection locked="0"/>
    </xf>
    <xf numFmtId="0" fontId="61" fillId="0" borderId="0" xfId="2" applyFont="1" applyAlignment="1">
      <alignment horizontal="left" wrapText="1"/>
    </xf>
    <xf numFmtId="170" fontId="21" fillId="3" borderId="2" xfId="11" applyBorder="1" applyAlignment="1">
      <alignment horizontal="center" vertical="center"/>
    </xf>
    <xf numFmtId="170" fontId="21" fillId="3" borderId="9" xfId="11" applyBorder="1" applyAlignment="1">
      <alignment horizontal="center" vertical="center"/>
    </xf>
    <xf numFmtId="0" fontId="7" fillId="12" borderId="11" xfId="8" applyFont="1" applyBorder="1" applyAlignment="1">
      <alignment horizontal="center" vertical="center" wrapText="1"/>
    </xf>
    <xf numFmtId="167" fontId="7" fillId="5" borderId="4" xfId="5" applyFont="1" applyBorder="1" applyAlignment="1">
      <alignment horizontal="center" vertical="center"/>
      <protection locked="0"/>
    </xf>
    <xf numFmtId="167" fontId="7" fillId="5" borderId="5" xfId="5" applyFont="1" applyBorder="1" applyAlignment="1">
      <alignment horizontal="center" vertical="center"/>
      <protection locked="0"/>
    </xf>
    <xf numFmtId="167" fontId="7" fillId="6" borderId="4" xfId="6" applyNumberFormat="1" applyFont="1" applyBorder="1" applyAlignment="1">
      <alignment horizontal="center" vertical="center"/>
      <protection locked="0"/>
    </xf>
    <xf numFmtId="167" fontId="7" fillId="6" borderId="5" xfId="6" applyNumberFormat="1" applyFont="1" applyBorder="1" applyAlignment="1">
      <alignment horizontal="center" vertical="center"/>
      <protection locked="0"/>
    </xf>
    <xf numFmtId="167" fontId="7" fillId="4" borderId="4" xfId="4" applyBorder="1" applyAlignment="1">
      <alignment horizontal="center" vertical="center"/>
      <protection locked="0"/>
    </xf>
    <xf numFmtId="167" fontId="7" fillId="4" borderId="5" xfId="4" applyBorder="1" applyAlignment="1">
      <alignment horizontal="center" vertical="center"/>
      <protection locked="0"/>
    </xf>
    <xf numFmtId="167" fontId="7" fillId="4" borderId="10" xfId="4" applyBorder="1" applyAlignment="1">
      <alignment horizontal="center" vertical="center"/>
      <protection locked="0"/>
    </xf>
    <xf numFmtId="167" fontId="7" fillId="4" borderId="11" xfId="4" applyBorder="1" applyAlignment="1">
      <alignment horizontal="center" vertical="center"/>
      <protection locked="0"/>
    </xf>
    <xf numFmtId="167" fontId="7" fillId="4" borderId="13" xfId="4" applyBorder="1" applyAlignment="1">
      <alignment horizontal="center" vertical="center"/>
      <protection locked="0"/>
    </xf>
    <xf numFmtId="167" fontId="7" fillId="4" borderId="12" xfId="4" applyBorder="1" applyAlignment="1">
      <alignment horizontal="center" vertical="center"/>
      <protection locked="0"/>
    </xf>
    <xf numFmtId="167" fontId="7" fillId="5" borderId="10" xfId="5" applyBorder="1" applyAlignment="1">
      <alignment horizontal="center" vertical="center"/>
      <protection locked="0"/>
    </xf>
    <xf numFmtId="167" fontId="7" fillId="5" borderId="11" xfId="5" applyBorder="1" applyAlignment="1">
      <alignment horizontal="center" vertical="center"/>
      <protection locked="0"/>
    </xf>
    <xf numFmtId="167" fontId="11" fillId="7" borderId="8" xfId="7" applyNumberFormat="1" applyBorder="1">
      <alignment horizontal="center" vertical="center"/>
      <protection locked="0"/>
    </xf>
    <xf numFmtId="167" fontId="11" fillId="7" borderId="8" xfId="7" applyBorder="1">
      <alignment horizontal="center" vertical="center"/>
      <protection locked="0"/>
    </xf>
    <xf numFmtId="167" fontId="7" fillId="6" borderId="15" xfId="6" applyNumberFormat="1" applyFont="1" applyBorder="1" applyAlignment="1" applyProtection="1">
      <alignment horizontal="center" vertical="center"/>
      <protection locked="0"/>
    </xf>
    <xf numFmtId="167" fontId="7" fillId="6" borderId="12" xfId="6" applyNumberFormat="1" applyFont="1" applyBorder="1" applyAlignment="1" applyProtection="1">
      <alignment horizontal="center" vertical="center"/>
      <protection locked="0"/>
    </xf>
    <xf numFmtId="172" fontId="7" fillId="6" borderId="4" xfId="6" applyNumberFormat="1" applyFont="1" applyBorder="1" applyAlignment="1">
      <alignment horizontal="center" vertical="center"/>
      <protection locked="0"/>
    </xf>
    <xf numFmtId="172" fontId="7" fillId="6" borderId="5" xfId="6" applyNumberFormat="1" applyFont="1" applyBorder="1" applyAlignment="1">
      <alignment horizontal="center" vertical="center"/>
      <protection locked="0"/>
    </xf>
    <xf numFmtId="0" fontId="9" fillId="12" borderId="4" xfId="8" applyFont="1" applyBorder="1" applyAlignment="1">
      <alignment horizontal="center" vertical="center"/>
    </xf>
    <xf numFmtId="0" fontId="9" fillId="12" borderId="5" xfId="8" applyFont="1" applyBorder="1" applyAlignment="1">
      <alignment horizontal="center" vertical="center"/>
    </xf>
    <xf numFmtId="170" fontId="21" fillId="3" borderId="14" xfId="11" applyBorder="1" applyAlignment="1">
      <alignment horizontal="center" vertical="center"/>
    </xf>
    <xf numFmtId="167" fontId="11" fillId="7" borderId="6" xfId="7" applyNumberFormat="1" applyBorder="1">
      <alignment horizontal="center" vertical="center"/>
      <protection locked="0"/>
    </xf>
    <xf numFmtId="167" fontId="11" fillId="7" borderId="6" xfId="7" applyBorder="1">
      <alignment horizontal="center" vertical="center"/>
      <protection locked="0"/>
    </xf>
    <xf numFmtId="167" fontId="7" fillId="6" borderId="3" xfId="6" applyNumberFormat="1" applyFont="1" applyBorder="1" applyAlignment="1">
      <alignment horizontal="center" vertical="center"/>
      <protection locked="0"/>
    </xf>
    <xf numFmtId="167" fontId="7" fillId="6" borderId="9" xfId="6" applyNumberFormat="1" applyFont="1" applyBorder="1" applyAlignment="1">
      <alignment horizontal="center" vertical="center"/>
      <protection locked="0"/>
    </xf>
    <xf numFmtId="167" fontId="7" fillId="6" borderId="6" xfId="6" applyNumberFormat="1" applyFont="1" applyBorder="1" applyAlignment="1" applyProtection="1">
      <alignment horizontal="center" vertical="center"/>
      <protection locked="0"/>
    </xf>
    <xf numFmtId="167" fontId="7" fillId="6" borderId="7" xfId="6" applyNumberFormat="1" applyFont="1" applyBorder="1" applyAlignment="1" applyProtection="1">
      <alignment horizontal="center" vertical="center"/>
      <protection locked="0"/>
    </xf>
    <xf numFmtId="167" fontId="7" fillId="6" borderId="8" xfId="6" applyNumberFormat="1" applyFont="1" applyBorder="1" applyAlignment="1" applyProtection="1">
      <alignment horizontal="center" vertical="center"/>
      <protection locked="0"/>
    </xf>
    <xf numFmtId="0" fontId="9" fillId="12" borderId="1" xfId="8" applyFont="1" applyBorder="1" applyAlignment="1">
      <alignment horizontal="center" vertical="center" wrapText="1"/>
    </xf>
    <xf numFmtId="0" fontId="9" fillId="12" borderId="6" xfId="8" applyFont="1" applyBorder="1" applyAlignment="1">
      <alignment horizontal="center" vertical="center" wrapText="1"/>
    </xf>
    <xf numFmtId="0" fontId="9" fillId="12" borderId="7" xfId="8" applyFont="1" applyBorder="1" applyAlignment="1">
      <alignment horizontal="center" vertical="center" wrapText="1"/>
    </xf>
    <xf numFmtId="0" fontId="9" fillId="12" borderId="8" xfId="8" applyFont="1" applyBorder="1" applyAlignment="1">
      <alignment horizontal="center" vertical="center" wrapText="1"/>
    </xf>
    <xf numFmtId="0" fontId="7" fillId="12" borderId="15" xfId="8" applyFont="1" applyBorder="1" applyAlignment="1">
      <alignment horizontal="center" vertical="center" wrapText="1"/>
    </xf>
    <xf numFmtId="0" fontId="0" fillId="12" borderId="3" xfId="8" applyFont="1" applyBorder="1" applyAlignment="1">
      <alignment horizontal="center" vertical="center" wrapText="1"/>
    </xf>
    <xf numFmtId="0" fontId="0" fillId="12" borderId="9" xfId="8" applyFont="1" applyBorder="1" applyAlignment="1">
      <alignment horizontal="center" vertical="center" wrapText="1"/>
    </xf>
    <xf numFmtId="0" fontId="0" fillId="12" borderId="13" xfId="8" applyFont="1" applyBorder="1" applyAlignment="1">
      <alignment horizontal="center" vertical="center" wrapText="1"/>
    </xf>
    <xf numFmtId="0" fontId="0" fillId="12" borderId="12" xfId="8" applyFont="1" applyBorder="1" applyAlignment="1">
      <alignment horizontal="center" vertical="center" wrapText="1"/>
    </xf>
    <xf numFmtId="167" fontId="7" fillId="4" borderId="6" xfId="4" applyBorder="1" applyAlignment="1">
      <alignment horizontal="center" vertical="center"/>
      <protection locked="0"/>
    </xf>
    <xf numFmtId="167" fontId="7" fillId="4" borderId="8" xfId="4" applyBorder="1" applyAlignment="1">
      <alignment horizontal="center" vertical="center"/>
      <protection locked="0"/>
    </xf>
    <xf numFmtId="167" fontId="7" fillId="5" borderId="6" xfId="5" applyBorder="1" applyAlignment="1">
      <alignment horizontal="center" vertical="center"/>
      <protection locked="0"/>
    </xf>
    <xf numFmtId="167" fontId="7" fillId="5" borderId="8" xfId="5" applyBorder="1" applyAlignment="1">
      <alignment horizontal="center" vertical="center"/>
      <protection locked="0"/>
    </xf>
    <xf numFmtId="0" fontId="1" fillId="12" borderId="13" xfId="8" applyBorder="1" applyAlignment="1">
      <alignment horizontal="left"/>
    </xf>
    <xf numFmtId="0" fontId="1" fillId="12" borderId="15" xfId="8" applyBorder="1" applyAlignment="1">
      <alignment horizontal="left"/>
    </xf>
    <xf numFmtId="0" fontId="1" fillId="12" borderId="12" xfId="8" applyBorder="1" applyAlignment="1">
      <alignment horizontal="left"/>
    </xf>
    <xf numFmtId="0" fontId="7" fillId="12" borderId="4" xfId="8" applyFont="1" applyBorder="1" applyAlignment="1">
      <alignment horizontal="center" wrapText="1"/>
    </xf>
    <xf numFmtId="0" fontId="7" fillId="12" borderId="14" xfId="8" applyFont="1" applyBorder="1" applyAlignment="1">
      <alignment horizontal="center" wrapText="1"/>
    </xf>
    <xf numFmtId="0" fontId="7" fillId="12" borderId="5" xfId="8" applyFont="1" applyBorder="1" applyAlignment="1">
      <alignment wrapText="1"/>
    </xf>
    <xf numFmtId="0" fontId="1" fillId="12" borderId="3" xfId="8" applyBorder="1" applyAlignment="1">
      <alignment horizontal="left"/>
    </xf>
    <xf numFmtId="0" fontId="1" fillId="12" borderId="2" xfId="8" applyBorder="1" applyAlignment="1">
      <alignment horizontal="left"/>
    </xf>
    <xf numFmtId="0" fontId="1" fillId="12" borderId="9" xfId="8" applyBorder="1" applyAlignment="1">
      <alignment horizontal="left"/>
    </xf>
    <xf numFmtId="0" fontId="1" fillId="12" borderId="10" xfId="8" applyBorder="1" applyAlignment="1">
      <alignment horizontal="left"/>
    </xf>
    <xf numFmtId="0" fontId="1" fillId="12" borderId="0" xfId="8" applyBorder="1" applyAlignment="1">
      <alignment horizontal="left"/>
    </xf>
    <xf numFmtId="0" fontId="1" fillId="12" borderId="11" xfId="8" applyBorder="1" applyAlignment="1">
      <alignment horizontal="left"/>
    </xf>
    <xf numFmtId="0" fontId="0" fillId="12" borderId="6" xfId="8" applyFont="1" applyBorder="1" applyAlignment="1">
      <alignment horizontal="left" vertical="top" wrapText="1"/>
    </xf>
    <xf numFmtId="0" fontId="0" fillId="12" borderId="7" xfId="8" applyFont="1" applyBorder="1" applyAlignment="1">
      <alignment horizontal="left" vertical="top" wrapText="1"/>
    </xf>
    <xf numFmtId="0" fontId="0" fillId="12" borderId="8" xfId="8" applyFont="1" applyBorder="1" applyAlignment="1">
      <alignment horizontal="left" vertical="top" wrapText="1"/>
    </xf>
    <xf numFmtId="0" fontId="0" fillId="12" borderId="6" xfId="8" applyFont="1" applyBorder="1" applyAlignment="1">
      <alignment vertical="top" wrapText="1"/>
    </xf>
    <xf numFmtId="0" fontId="0" fillId="12" borderId="7" xfId="8" applyFont="1" applyBorder="1" applyAlignment="1">
      <alignment vertical="top" wrapText="1"/>
    </xf>
    <xf numFmtId="0" fontId="0" fillId="12" borderId="8" xfId="8" applyFont="1" applyBorder="1" applyAlignment="1">
      <alignment vertical="top" wrapText="1"/>
    </xf>
    <xf numFmtId="0" fontId="4" fillId="12" borderId="1" xfId="8" applyFont="1" applyBorder="1" applyAlignment="1">
      <alignment horizontal="center"/>
    </xf>
    <xf numFmtId="0" fontId="4" fillId="12" borderId="6" xfId="8" applyFont="1" applyBorder="1" applyAlignment="1">
      <alignment horizontal="center" vertical="center" wrapText="1"/>
    </xf>
    <xf numFmtId="0" fontId="4" fillId="12" borderId="8" xfId="8" applyFont="1" applyBorder="1" applyAlignment="1">
      <alignment horizontal="center" vertical="center" wrapText="1"/>
    </xf>
    <xf numFmtId="0" fontId="4" fillId="12" borderId="4" xfId="8" applyFont="1" applyBorder="1" applyAlignment="1">
      <alignment horizontal="center"/>
    </xf>
    <xf numFmtId="0" fontId="4" fillId="12" borderId="14" xfId="8" applyFont="1" applyBorder="1" applyAlignment="1">
      <alignment horizontal="center"/>
    </xf>
    <xf numFmtId="0" fontId="4" fillId="12" borderId="5" xfId="8" applyFont="1" applyBorder="1" applyAlignment="1">
      <alignment horizontal="center"/>
    </xf>
    <xf numFmtId="0" fontId="12" fillId="0" borderId="0" xfId="0" applyFont="1" applyAlignment="1">
      <alignment horizontal="left" vertical="top" wrapText="1"/>
    </xf>
    <xf numFmtId="0" fontId="4" fillId="12" borderId="3" xfId="8" applyFont="1" applyBorder="1" applyAlignment="1">
      <alignment horizontal="center"/>
    </xf>
    <xf numFmtId="0" fontId="4" fillId="12" borderId="2" xfId="8" applyFont="1" applyBorder="1" applyAlignment="1">
      <alignment horizontal="center"/>
    </xf>
    <xf numFmtId="0" fontId="7" fillId="15" borderId="4" xfId="13" applyNumberFormat="1" applyFont="1" applyBorder="1">
      <alignment vertical="center"/>
      <protection locked="0"/>
    </xf>
    <xf numFmtId="0" fontId="0" fillId="15" borderId="5" xfId="13" applyNumberFormat="1" applyFont="1" applyBorder="1">
      <alignment vertical="center"/>
      <protection locked="0"/>
    </xf>
    <xf numFmtId="0" fontId="0" fillId="16" borderId="13" xfId="14" applyFont="1" applyBorder="1" applyAlignment="1">
      <alignment horizontal="center"/>
    </xf>
    <xf numFmtId="0" fontId="0" fillId="16" borderId="12" xfId="14" applyFont="1" applyBorder="1" applyAlignment="1">
      <alignment horizontal="center"/>
    </xf>
    <xf numFmtId="0" fontId="8" fillId="0" borderId="0" xfId="0" applyFont="1" applyAlignment="1">
      <alignment horizontal="left" vertical="top" wrapText="1"/>
    </xf>
    <xf numFmtId="0" fontId="4" fillId="12" borderId="4" xfId="8" applyFont="1" applyBorder="1" applyAlignment="1">
      <alignment horizontal="center" vertical="center" wrapText="1"/>
    </xf>
    <xf numFmtId="0" fontId="4" fillId="12" borderId="5" xfId="8" applyFont="1" applyBorder="1" applyAlignment="1">
      <alignment horizontal="center" vertical="center" wrapText="1"/>
    </xf>
    <xf numFmtId="0" fontId="4" fillId="12" borderId="3" xfId="8" applyFont="1" applyBorder="1" applyAlignment="1">
      <alignment horizontal="center" vertical="center" wrapText="1"/>
    </xf>
    <xf numFmtId="0" fontId="4" fillId="12" borderId="9" xfId="8" applyFont="1" applyBorder="1" applyAlignment="1">
      <alignment horizontal="center" vertical="center" wrapText="1"/>
    </xf>
    <xf numFmtId="0" fontId="4" fillId="12" borderId="13" xfId="8" applyFont="1" applyBorder="1" applyAlignment="1">
      <alignment horizontal="center" vertical="center" wrapText="1"/>
    </xf>
    <xf numFmtId="0" fontId="4" fillId="12" borderId="12" xfId="8" applyFont="1" applyBorder="1" applyAlignment="1">
      <alignment horizontal="center" vertical="center" wrapText="1"/>
    </xf>
    <xf numFmtId="0" fontId="4" fillId="12" borderId="7" xfId="8" applyFont="1" applyBorder="1" applyAlignment="1">
      <alignment horizontal="center" vertical="center" wrapText="1"/>
    </xf>
    <xf numFmtId="0" fontId="59" fillId="12" borderId="107" xfId="8" applyFont="1" applyBorder="1" applyAlignment="1">
      <alignment horizontal="center"/>
    </xf>
    <xf numFmtId="0" fontId="4" fillId="12" borderId="41" xfId="8" applyFont="1" applyBorder="1" applyAlignment="1">
      <alignment horizontal="center"/>
    </xf>
    <xf numFmtId="0" fontId="4" fillId="12" borderId="107" xfId="8" applyFont="1" applyBorder="1" applyAlignment="1">
      <alignment horizontal="center"/>
    </xf>
    <xf numFmtId="0" fontId="1" fillId="12" borderId="3" xfId="8" applyFont="1" applyBorder="1" applyAlignment="1">
      <alignment horizontal="center" wrapText="1"/>
    </xf>
    <xf numFmtId="0" fontId="1" fillId="12" borderId="9" xfId="8" applyFont="1" applyBorder="1" applyAlignment="1">
      <alignment horizontal="center" wrapText="1"/>
    </xf>
    <xf numFmtId="0" fontId="4" fillId="12" borderId="1" xfId="8" applyFont="1" applyBorder="1" applyAlignment="1">
      <alignment horizontal="center" vertical="center" wrapText="1"/>
    </xf>
    <xf numFmtId="0" fontId="4" fillId="12" borderId="1" xfId="8" applyFont="1" applyBorder="1" applyAlignment="1">
      <alignment horizontal="center" vertical="center"/>
    </xf>
    <xf numFmtId="0" fontId="4" fillId="12" borderId="3" xfId="8" applyFont="1" applyBorder="1" applyAlignment="1">
      <alignment horizontal="center" vertical="center"/>
    </xf>
    <xf numFmtId="0" fontId="4" fillId="12" borderId="10" xfId="8" applyFont="1" applyBorder="1" applyAlignment="1">
      <alignment horizontal="center" vertical="center"/>
    </xf>
    <xf numFmtId="0" fontId="4" fillId="12" borderId="6" xfId="8" applyFont="1" applyBorder="1" applyAlignment="1">
      <alignment horizontal="center" vertical="center"/>
    </xf>
    <xf numFmtId="0" fontId="4" fillId="12" borderId="7" xfId="8" applyFont="1" applyBorder="1" applyAlignment="1">
      <alignment horizontal="center" vertical="center"/>
    </xf>
    <xf numFmtId="0" fontId="4" fillId="12" borderId="8" xfId="8" applyFont="1" applyBorder="1" applyAlignment="1">
      <alignment horizontal="center" vertical="center"/>
    </xf>
    <xf numFmtId="0" fontId="1" fillId="12" borderId="7" xfId="8" applyBorder="1" applyAlignment="1">
      <alignment horizontal="center" vertical="center"/>
    </xf>
    <xf numFmtId="0" fontId="1" fillId="12" borderId="8" xfId="8" applyBorder="1" applyAlignment="1">
      <alignment horizontal="center" vertical="center"/>
    </xf>
    <xf numFmtId="0" fontId="0" fillId="12" borderId="1" xfId="8" applyFont="1" applyBorder="1" applyAlignment="1">
      <alignment horizontal="center" vertical="center"/>
    </xf>
  </cellXfs>
  <cellStyles count="20">
    <cellStyle name="Bad" xfId="1" builtinId="27"/>
    <cellStyle name="Hyperlink" xfId="19" builtinId="8"/>
    <cellStyle name="IAIS_BCR_Factor" xfId="17"/>
    <cellStyle name="IAIS_EOA" xfId="9"/>
    <cellStyle name="IAIS_FT.Amount" xfId="4"/>
    <cellStyle name="IAIS_FT.Caption" xfId="8"/>
    <cellStyle name="IAIS_FT.CCode" xfId="11"/>
    <cellStyle name="IAIS_FT.CopyOfAmount" xfId="5"/>
    <cellStyle name="IAIS_FT.Date" xfId="15"/>
    <cellStyle name="IAIS_FT.Empty" xfId="14"/>
    <cellStyle name="IAIS_FT.Enum" xfId="16"/>
    <cellStyle name="IAIS_FT.ICS.Param" xfId="3"/>
    <cellStyle name="IAIS_FT.LocalCalc" xfId="6"/>
    <cellStyle name="IAIS_FT.Percent" xfId="18"/>
    <cellStyle name="IAIS_FT.RCode" xfId="12"/>
    <cellStyle name="IAIS_FT.Results" xfId="7"/>
    <cellStyle name="IAIS_FT.String" xfId="13"/>
    <cellStyle name="IAIS_FT.TCode" xfId="10"/>
    <cellStyle name="IAIS_Ignore" xfId="2"/>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www.imf.org/external/pubs/ft/weo/2015/01/weodata/groups.ht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499984740745262"/>
  </sheetPr>
  <dimension ref="A1:D20"/>
  <sheetViews>
    <sheetView tabSelected="1" view="pageLayout" zoomScaleNormal="100" zoomScaleSheetLayoutView="100" workbookViewId="0">
      <selection activeCell="B8" sqref="B8"/>
    </sheetView>
  </sheetViews>
  <sheetFormatPr defaultRowHeight="12.75" x14ac:dyDescent="0.2"/>
  <cols>
    <col min="1" max="1" width="5.85546875" customWidth="1"/>
    <col min="2" max="2" width="22.28515625" customWidth="1"/>
    <col min="3" max="3" width="39.28515625" customWidth="1"/>
    <col min="4" max="4" width="19.7109375" customWidth="1"/>
    <col min="5" max="5" width="21.85546875" customWidth="1"/>
  </cols>
  <sheetData>
    <row r="1" spans="1:4" ht="13.5" thickBot="1" x14ac:dyDescent="0.25">
      <c r="A1" s="1" t="s">
        <v>1694</v>
      </c>
    </row>
    <row r="2" spans="1:4" ht="101.45" customHeight="1" thickTop="1" thickBot="1" x14ac:dyDescent="0.25">
      <c r="A2" s="1403" t="s">
        <v>1695</v>
      </c>
      <c r="B2" s="1404"/>
      <c r="C2" s="1404"/>
      <c r="D2" s="1405"/>
    </row>
    <row r="3" spans="1:4" ht="13.5" thickTop="1" x14ac:dyDescent="0.2"/>
    <row r="4" spans="1:4" x14ac:dyDescent="0.2">
      <c r="B4" t="s">
        <v>1696</v>
      </c>
    </row>
    <row r="10" spans="1:4" x14ac:dyDescent="0.2">
      <c r="B10" t="s">
        <v>0</v>
      </c>
    </row>
    <row r="13" spans="1:4" x14ac:dyDescent="0.2">
      <c r="D13" s="2" t="s">
        <v>1</v>
      </c>
    </row>
    <row r="14" spans="1:4" x14ac:dyDescent="0.2">
      <c r="C14" s="3" t="s">
        <v>2</v>
      </c>
      <c r="D14" s="4"/>
    </row>
    <row r="15" spans="1:4" x14ac:dyDescent="0.2">
      <c r="C15" s="5" t="s">
        <v>3</v>
      </c>
      <c r="D15" s="6"/>
    </row>
    <row r="16" spans="1:4" ht="14.25" x14ac:dyDescent="0.2">
      <c r="C16" s="7" t="s">
        <v>4</v>
      </c>
      <c r="D16" s="8"/>
    </row>
    <row r="17" spans="2:4" x14ac:dyDescent="0.2">
      <c r="C17" s="9" t="s">
        <v>5</v>
      </c>
      <c r="D17" s="10"/>
    </row>
    <row r="18" spans="2:4" x14ac:dyDescent="0.2">
      <c r="C18" s="11" t="s">
        <v>6</v>
      </c>
      <c r="D18" s="12"/>
    </row>
    <row r="20" spans="2:4" x14ac:dyDescent="0.2">
      <c r="B20" t="s">
        <v>7</v>
      </c>
    </row>
  </sheetData>
  <mergeCells count="1">
    <mergeCell ref="A2:D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A1:T58"/>
  <sheetViews>
    <sheetView topLeftCell="A9" zoomScaleNormal="100" workbookViewId="0">
      <selection activeCell="A47" sqref="A47"/>
    </sheetView>
  </sheetViews>
  <sheetFormatPr defaultRowHeight="12.75" x14ac:dyDescent="0.2"/>
  <cols>
    <col min="1" max="1" width="47.7109375" customWidth="1"/>
    <col min="2" max="2" width="8.85546875" customWidth="1"/>
    <col min="3" max="5" width="8.7109375" customWidth="1"/>
    <col min="6" max="6" width="7.7109375" customWidth="1"/>
    <col min="7" max="7" width="1.42578125" customWidth="1"/>
    <col min="8" max="8" width="2" customWidth="1"/>
    <col min="9" max="9" width="2.7109375" customWidth="1"/>
    <col min="10" max="10" width="17.28515625" customWidth="1"/>
    <col min="11" max="11" width="10.85546875" customWidth="1"/>
    <col min="12" max="12" width="9.140625" customWidth="1"/>
    <col min="13" max="13" width="2.42578125" customWidth="1"/>
    <col min="14" max="18" width="8.7109375" customWidth="1"/>
    <col min="19" max="19" width="2.7109375" customWidth="1"/>
    <col min="20" max="20" width="2" customWidth="1"/>
    <col min="21" max="21" width="18.28515625" customWidth="1"/>
    <col min="22" max="22" width="16.42578125" customWidth="1"/>
    <col min="23" max="23" width="13.140625" customWidth="1"/>
    <col min="24" max="24" width="14.28515625" customWidth="1"/>
    <col min="26" max="26" width="16.42578125" customWidth="1"/>
    <col min="27" max="27" width="14.5703125" customWidth="1"/>
    <col min="28" max="28" width="20.7109375" customWidth="1"/>
  </cols>
  <sheetData>
    <row r="1" spans="1:20" ht="14.25" x14ac:dyDescent="0.2">
      <c r="A1" s="93" t="str">
        <f>FT15.Participant!$A$1</f>
        <v>&lt;IAIG's Name&gt;</v>
      </c>
      <c r="B1" s="94"/>
      <c r="C1" s="94"/>
      <c r="D1" s="94"/>
      <c r="E1" s="611" t="str">
        <f>Version</f>
        <v>2015 IAIS Field Testing Template</v>
      </c>
      <c r="H1" s="96" t="s">
        <v>87</v>
      </c>
      <c r="T1" s="96"/>
    </row>
    <row r="2" spans="1:20" ht="15" x14ac:dyDescent="0.25">
      <c r="A2" s="97" t="str">
        <f>FT15.Participant!$A$2</f>
        <v>&lt;Currency&gt; - (&lt;Unit&gt;)</v>
      </c>
      <c r="B2" s="98" t="s">
        <v>650</v>
      </c>
      <c r="C2" s="99"/>
      <c r="D2" s="99"/>
      <c r="E2" s="100" t="str">
        <f>FT15.Participant!$E$2</f>
        <v xml:space="preserve">&lt;Reporting Date&gt; - </v>
      </c>
      <c r="H2" s="96" t="s">
        <v>87</v>
      </c>
      <c r="T2" s="96"/>
    </row>
    <row r="3" spans="1:20" ht="14.25" x14ac:dyDescent="0.2">
      <c r="H3" s="96" t="s">
        <v>87</v>
      </c>
      <c r="T3" s="96" t="s">
        <v>87</v>
      </c>
    </row>
    <row r="4" spans="1:20" ht="15.75" x14ac:dyDescent="0.25">
      <c r="A4" s="154" t="s">
        <v>651</v>
      </c>
      <c r="B4" s="155"/>
      <c r="C4" s="156"/>
      <c r="D4" s="157"/>
      <c r="E4" s="158" t="s">
        <v>145</v>
      </c>
      <c r="H4" s="96" t="s">
        <v>87</v>
      </c>
      <c r="T4" s="96" t="s">
        <v>87</v>
      </c>
    </row>
    <row r="5" spans="1:20" ht="14.25" x14ac:dyDescent="0.2">
      <c r="A5" s="160"/>
      <c r="B5" s="124">
        <v>54</v>
      </c>
      <c r="C5" s="105"/>
      <c r="D5" s="105"/>
      <c r="E5" s="106">
        <v>1</v>
      </c>
      <c r="H5" s="96" t="s">
        <v>87</v>
      </c>
      <c r="T5" s="96" t="s">
        <v>87</v>
      </c>
    </row>
    <row r="6" spans="1:20" ht="14.25" x14ac:dyDescent="0.2">
      <c r="A6" s="146" t="s">
        <v>652</v>
      </c>
      <c r="B6" s="169">
        <v>1</v>
      </c>
      <c r="C6" s="224"/>
      <c r="D6" s="225"/>
      <c r="E6" s="612" t="str">
        <f>IFERROR(E11/SUM(E38,E32),"-")</f>
        <v>-</v>
      </c>
      <c r="H6" s="96" t="s">
        <v>87</v>
      </c>
      <c r="T6" s="96" t="s">
        <v>87</v>
      </c>
    </row>
    <row r="7" spans="1:20" ht="14.25" x14ac:dyDescent="0.2">
      <c r="A7" s="150" t="s">
        <v>653</v>
      </c>
      <c r="B7" s="162">
        <v>2</v>
      </c>
      <c r="C7" s="262"/>
      <c r="D7" s="323"/>
      <c r="E7" s="613" t="str">
        <f>IFERROR(E12/SUM(E38,E32),"-")</f>
        <v>-</v>
      </c>
      <c r="H7" s="96" t="s">
        <v>87</v>
      </c>
      <c r="T7" s="96" t="s">
        <v>87</v>
      </c>
    </row>
    <row r="8" spans="1:20" ht="14.25" x14ac:dyDescent="0.2">
      <c r="H8" s="96" t="s">
        <v>87</v>
      </c>
      <c r="T8" s="96" t="s">
        <v>87</v>
      </c>
    </row>
    <row r="9" spans="1:20" ht="17.25" x14ac:dyDescent="0.25">
      <c r="A9" s="154" t="s">
        <v>654</v>
      </c>
      <c r="B9" s="155"/>
      <c r="C9" s="156"/>
      <c r="D9" s="157"/>
      <c r="E9" s="158"/>
      <c r="H9" s="96" t="s">
        <v>87</v>
      </c>
      <c r="T9" s="96" t="s">
        <v>87</v>
      </c>
    </row>
    <row r="10" spans="1:20" ht="14.25" x14ac:dyDescent="0.2">
      <c r="A10" s="160"/>
      <c r="B10" s="124">
        <v>55</v>
      </c>
      <c r="C10" s="167">
        <v>1</v>
      </c>
      <c r="D10" s="167"/>
      <c r="E10" s="167">
        <v>2</v>
      </c>
      <c r="H10" s="96" t="s">
        <v>87</v>
      </c>
      <c r="T10" s="96" t="s">
        <v>87</v>
      </c>
    </row>
    <row r="11" spans="1:20" ht="14.25" x14ac:dyDescent="0.2">
      <c r="A11" s="614" t="s">
        <v>655</v>
      </c>
      <c r="B11" s="169" t="s">
        <v>656</v>
      </c>
      <c r="C11" s="615"/>
      <c r="D11" s="616"/>
      <c r="E11" s="423">
        <f>E16-SUM(C14)</f>
        <v>0</v>
      </c>
      <c r="H11" s="96" t="s">
        <v>87</v>
      </c>
      <c r="T11" s="96" t="s">
        <v>87</v>
      </c>
    </row>
    <row r="12" spans="1:20" ht="14.25" x14ac:dyDescent="0.2">
      <c r="A12" s="617" t="s">
        <v>657</v>
      </c>
      <c r="B12" s="169" t="s">
        <v>658</v>
      </c>
      <c r="C12" s="618"/>
      <c r="D12" s="619"/>
      <c r="E12" s="620">
        <f>E16-SUM(C15)</f>
        <v>0</v>
      </c>
      <c r="H12" s="96" t="s">
        <v>87</v>
      </c>
      <c r="T12" s="96" t="s">
        <v>87</v>
      </c>
    </row>
    <row r="13" spans="1:20" ht="14.25" x14ac:dyDescent="0.2">
      <c r="A13" s="621" t="s">
        <v>659</v>
      </c>
      <c r="B13" s="169"/>
      <c r="C13" s="622"/>
      <c r="D13" s="619"/>
      <c r="E13" s="623"/>
      <c r="H13" s="96" t="s">
        <v>87</v>
      </c>
      <c r="T13" s="96" t="s">
        <v>87</v>
      </c>
    </row>
    <row r="14" spans="1:20" ht="15" x14ac:dyDescent="0.2">
      <c r="A14" s="624" t="s">
        <v>660</v>
      </c>
      <c r="B14" s="234">
        <v>3</v>
      </c>
      <c r="C14" s="625">
        <f>SUM('ICS.Balance sheet'!L110)</f>
        <v>0</v>
      </c>
      <c r="D14" s="626"/>
      <c r="E14" s="627"/>
      <c r="H14" s="96" t="s">
        <v>87</v>
      </c>
      <c r="T14" s="96" t="s">
        <v>87</v>
      </c>
    </row>
    <row r="15" spans="1:20" ht="15" x14ac:dyDescent="0.2">
      <c r="A15" s="371" t="s">
        <v>661</v>
      </c>
      <c r="B15" s="234">
        <v>4</v>
      </c>
      <c r="C15" s="625">
        <f>SUM('ICS.Balance sheet'!L111)</f>
        <v>0</v>
      </c>
      <c r="D15" s="626"/>
      <c r="E15" s="627"/>
      <c r="H15" s="96" t="s">
        <v>87</v>
      </c>
      <c r="T15" s="96" t="s">
        <v>87</v>
      </c>
    </row>
    <row r="16" spans="1:20" ht="14.25" x14ac:dyDescent="0.2">
      <c r="A16" s="614" t="s">
        <v>662</v>
      </c>
      <c r="B16" s="169" t="s">
        <v>663</v>
      </c>
      <c r="C16" s="626"/>
      <c r="D16" s="626"/>
      <c r="E16" s="628">
        <f>E17+E23</f>
        <v>0</v>
      </c>
      <c r="H16" s="96" t="s">
        <v>87</v>
      </c>
      <c r="T16" s="96" t="s">
        <v>87</v>
      </c>
    </row>
    <row r="17" spans="1:20" ht="14.25" x14ac:dyDescent="0.2">
      <c r="A17" s="173" t="s">
        <v>664</v>
      </c>
      <c r="B17" s="169" t="s">
        <v>665</v>
      </c>
      <c r="C17" s="629"/>
      <c r="D17" s="626"/>
      <c r="E17" s="628">
        <f>IF(E19-C18&lt;0,0,E19-C18)</f>
        <v>0</v>
      </c>
      <c r="H17" s="96" t="s">
        <v>87</v>
      </c>
      <c r="T17" s="96" t="s">
        <v>87</v>
      </c>
    </row>
    <row r="18" spans="1:20" ht="14.25" x14ac:dyDescent="0.2">
      <c r="A18" s="177" t="s">
        <v>666</v>
      </c>
      <c r="B18" s="169">
        <v>7</v>
      </c>
      <c r="C18" s="625">
        <f>'ICS.Capital resources'!D56</f>
        <v>0</v>
      </c>
      <c r="D18" s="626"/>
      <c r="E18" s="630"/>
      <c r="H18" s="96" t="s">
        <v>87</v>
      </c>
      <c r="T18" s="96" t="s">
        <v>87</v>
      </c>
    </row>
    <row r="19" spans="1:20" ht="14.25" x14ac:dyDescent="0.2">
      <c r="A19" s="181" t="s">
        <v>667</v>
      </c>
      <c r="B19" s="169" t="s">
        <v>668</v>
      </c>
      <c r="C19" s="629"/>
      <c r="D19" s="631"/>
      <c r="E19" s="632">
        <f>SUM(C20:C22)</f>
        <v>0</v>
      </c>
      <c r="H19" s="96" t="s">
        <v>87</v>
      </c>
      <c r="T19" s="96" t="s">
        <v>87</v>
      </c>
    </row>
    <row r="20" spans="1:20" ht="14.25" x14ac:dyDescent="0.2">
      <c r="A20" s="185" t="s">
        <v>669</v>
      </c>
      <c r="B20" s="169">
        <v>9</v>
      </c>
      <c r="C20" s="625">
        <f>+'ICS.Capital resources'!D8+'ICS.Capital resources'!D10</f>
        <v>0</v>
      </c>
      <c r="D20" s="626"/>
      <c r="E20" s="630"/>
      <c r="H20" s="96" t="s">
        <v>87</v>
      </c>
      <c r="T20" s="96" t="s">
        <v>87</v>
      </c>
    </row>
    <row r="21" spans="1:20" ht="14.25" x14ac:dyDescent="0.2">
      <c r="A21" s="185" t="s">
        <v>670</v>
      </c>
      <c r="B21" s="169">
        <v>10</v>
      </c>
      <c r="C21" s="625">
        <f>+'ICS.Capital resources'!D9</f>
        <v>0</v>
      </c>
      <c r="D21" s="626"/>
      <c r="E21" s="630"/>
      <c r="H21" s="96" t="s">
        <v>87</v>
      </c>
      <c r="T21" s="96" t="s">
        <v>87</v>
      </c>
    </row>
    <row r="22" spans="1:20" ht="14.25" x14ac:dyDescent="0.2">
      <c r="A22" s="633" t="s">
        <v>157</v>
      </c>
      <c r="B22" s="169">
        <v>11</v>
      </c>
      <c r="C22" s="625">
        <f>'ICS.Capital resources'!D11</f>
        <v>0</v>
      </c>
      <c r="D22" s="631"/>
      <c r="E22" s="630"/>
      <c r="H22" s="96" t="s">
        <v>87</v>
      </c>
      <c r="T22" s="96" t="s">
        <v>87</v>
      </c>
    </row>
    <row r="23" spans="1:20" ht="14.25" x14ac:dyDescent="0.2">
      <c r="A23" s="173" t="s">
        <v>671</v>
      </c>
      <c r="B23" s="169" t="s">
        <v>672</v>
      </c>
      <c r="C23" s="629"/>
      <c r="D23" s="631"/>
      <c r="E23" s="628">
        <f>IF(E25-C24&lt;0,0,E25-C24)</f>
        <v>0</v>
      </c>
      <c r="H23" s="96" t="s">
        <v>87</v>
      </c>
      <c r="T23" s="96" t="s">
        <v>87</v>
      </c>
    </row>
    <row r="24" spans="1:20" ht="14.25" x14ac:dyDescent="0.2">
      <c r="A24" s="177" t="s">
        <v>673</v>
      </c>
      <c r="B24" s="169">
        <v>13</v>
      </c>
      <c r="C24" s="625">
        <f>'ICS.Capital resources'!D67</f>
        <v>0</v>
      </c>
      <c r="D24" s="631"/>
      <c r="E24" s="630"/>
      <c r="H24" s="96" t="s">
        <v>87</v>
      </c>
      <c r="T24" s="96" t="s">
        <v>87</v>
      </c>
    </row>
    <row r="25" spans="1:20" ht="14.25" x14ac:dyDescent="0.2">
      <c r="A25" s="181" t="s">
        <v>674</v>
      </c>
      <c r="B25" s="169" t="s">
        <v>675</v>
      </c>
      <c r="C25" s="634"/>
      <c r="D25" s="626"/>
      <c r="E25" s="632">
        <f>SUM(C26:C28)</f>
        <v>0</v>
      </c>
      <c r="H25" s="96" t="s">
        <v>87</v>
      </c>
      <c r="T25" s="96" t="s">
        <v>87</v>
      </c>
    </row>
    <row r="26" spans="1:20" ht="14.25" x14ac:dyDescent="0.2">
      <c r="A26" s="185" t="s">
        <v>676</v>
      </c>
      <c r="B26" s="169">
        <v>15</v>
      </c>
      <c r="C26" s="625">
        <f>+'ICS.Capital resources'!D22+'ICS.Capital resources'!D24</f>
        <v>0</v>
      </c>
      <c r="D26" s="631"/>
      <c r="E26" s="630"/>
      <c r="H26" s="96" t="s">
        <v>87</v>
      </c>
      <c r="T26" s="96" t="s">
        <v>87</v>
      </c>
    </row>
    <row r="27" spans="1:20" ht="14.25" x14ac:dyDescent="0.2">
      <c r="A27" s="185" t="s">
        <v>677</v>
      </c>
      <c r="B27" s="169">
        <v>16</v>
      </c>
      <c r="C27" s="625">
        <f>+'ICS.Capital resources'!D23</f>
        <v>0</v>
      </c>
      <c r="D27" s="631"/>
      <c r="E27" s="630"/>
      <c r="H27" s="96" t="s">
        <v>87</v>
      </c>
      <c r="T27" s="96" t="s">
        <v>87</v>
      </c>
    </row>
    <row r="28" spans="1:20" ht="14.25" x14ac:dyDescent="0.2">
      <c r="A28" s="202" t="s">
        <v>157</v>
      </c>
      <c r="B28" s="162">
        <v>17</v>
      </c>
      <c r="C28" s="635">
        <f>+'ICS.Capital resources'!D25</f>
        <v>0</v>
      </c>
      <c r="D28" s="636"/>
      <c r="E28" s="637"/>
      <c r="H28" s="96" t="s">
        <v>87</v>
      </c>
      <c r="T28" s="96" t="s">
        <v>87</v>
      </c>
    </row>
    <row r="29" spans="1:20" ht="15" x14ac:dyDescent="0.2">
      <c r="A29" s="638" t="s">
        <v>678</v>
      </c>
      <c r="B29" s="639"/>
      <c r="C29" s="639"/>
      <c r="D29" s="639"/>
      <c r="E29" s="639"/>
      <c r="H29" s="96" t="s">
        <v>87</v>
      </c>
      <c r="T29" s="96" t="s">
        <v>87</v>
      </c>
    </row>
    <row r="30" spans="1:20" ht="15" x14ac:dyDescent="0.2">
      <c r="A30" s="638"/>
      <c r="B30" s="639"/>
      <c r="C30" s="639"/>
      <c r="D30" s="639"/>
      <c r="E30" s="639"/>
      <c r="H30" s="96" t="s">
        <v>87</v>
      </c>
      <c r="T30" s="96"/>
    </row>
    <row r="31" spans="1:20" ht="14.25" x14ac:dyDescent="0.2">
      <c r="A31" s="640" t="s">
        <v>679</v>
      </c>
      <c r="B31" s="124">
        <v>56</v>
      </c>
      <c r="C31" s="105"/>
      <c r="D31" s="105"/>
      <c r="E31" s="106">
        <v>1</v>
      </c>
      <c r="H31" s="96" t="s">
        <v>87</v>
      </c>
      <c r="T31" s="96"/>
    </row>
    <row r="32" spans="1:20" ht="14.25" x14ac:dyDescent="0.2">
      <c r="A32" s="641" t="s">
        <v>218</v>
      </c>
      <c r="B32" s="234">
        <v>1</v>
      </c>
      <c r="C32" s="224"/>
      <c r="D32" s="225"/>
      <c r="E32" s="642">
        <f>SUM(E33:E35)</f>
        <v>0</v>
      </c>
      <c r="F32" s="643" t="s">
        <v>680</v>
      </c>
      <c r="H32" s="96" t="s">
        <v>87</v>
      </c>
      <c r="T32" s="96"/>
    </row>
    <row r="33" spans="1:20" ht="14.25" x14ac:dyDescent="0.2">
      <c r="A33" s="644" t="s">
        <v>219</v>
      </c>
      <c r="B33" s="234">
        <v>2</v>
      </c>
      <c r="C33" s="257">
        <f>SUM(Baseline!C25)</f>
        <v>0</v>
      </c>
      <c r="D33" s="230"/>
      <c r="E33" s="258">
        <f>C33*F33</f>
        <v>0</v>
      </c>
      <c r="F33" s="645">
        <v>0.03</v>
      </c>
      <c r="H33" s="96" t="s">
        <v>87</v>
      </c>
      <c r="T33" s="96"/>
    </row>
    <row r="34" spans="1:20" ht="14.25" x14ac:dyDescent="0.2">
      <c r="A34" s="644" t="s">
        <v>220</v>
      </c>
      <c r="B34" s="234">
        <v>3</v>
      </c>
      <c r="C34" s="257">
        <f>SUM(Baseline!D25)</f>
        <v>0</v>
      </c>
      <c r="D34" s="230"/>
      <c r="E34" s="258">
        <f>C34*F34</f>
        <v>0</v>
      </c>
      <c r="F34" s="646">
        <v>0.03</v>
      </c>
      <c r="H34" s="96" t="s">
        <v>87</v>
      </c>
      <c r="T34" s="96"/>
    </row>
    <row r="35" spans="1:20" ht="14.25" x14ac:dyDescent="0.2">
      <c r="A35" s="647" t="s">
        <v>221</v>
      </c>
      <c r="B35" s="261">
        <v>4</v>
      </c>
      <c r="C35" s="648">
        <f>SUM(Baseline!C12,Baseline!D43)</f>
        <v>0</v>
      </c>
      <c r="D35" s="323"/>
      <c r="E35" s="649">
        <f>C35</f>
        <v>0</v>
      </c>
      <c r="H35" s="96" t="s">
        <v>87</v>
      </c>
      <c r="T35" s="96"/>
    </row>
    <row r="36" spans="1:20" ht="14.25" x14ac:dyDescent="0.2">
      <c r="H36" s="96" t="s">
        <v>87</v>
      </c>
      <c r="T36" s="96" t="s">
        <v>87</v>
      </c>
    </row>
    <row r="37" spans="1:20" ht="14.25" x14ac:dyDescent="0.2">
      <c r="A37" s="640" t="s">
        <v>681</v>
      </c>
      <c r="B37" s="124">
        <v>57</v>
      </c>
      <c r="C37" s="105"/>
      <c r="D37" s="105"/>
      <c r="E37" s="106">
        <v>1</v>
      </c>
      <c r="H37" s="96" t="s">
        <v>87</v>
      </c>
      <c r="T37" s="96"/>
    </row>
    <row r="38" spans="1:20" ht="14.25" x14ac:dyDescent="0.2">
      <c r="A38" s="146" t="s">
        <v>682</v>
      </c>
      <c r="B38" s="234">
        <v>1</v>
      </c>
      <c r="C38" s="224"/>
      <c r="D38" s="225"/>
      <c r="E38" s="219">
        <f>E43-E40</f>
        <v>0</v>
      </c>
      <c r="H38" s="96" t="s">
        <v>87</v>
      </c>
      <c r="T38" s="96"/>
    </row>
    <row r="39" spans="1:20" ht="14.25" x14ac:dyDescent="0.2">
      <c r="A39" s="129" t="s">
        <v>683</v>
      </c>
      <c r="B39" s="234">
        <v>2</v>
      </c>
      <c r="C39" s="145"/>
      <c r="D39" s="230"/>
      <c r="E39" s="650" t="s">
        <v>684</v>
      </c>
      <c r="H39" s="96" t="s">
        <v>87</v>
      </c>
      <c r="T39" s="96"/>
    </row>
    <row r="40" spans="1:20" ht="14.25" x14ac:dyDescent="0.2">
      <c r="A40" s="147" t="s">
        <v>681</v>
      </c>
      <c r="B40" s="261">
        <v>3</v>
      </c>
      <c r="C40" s="262"/>
      <c r="D40" s="323"/>
      <c r="E40" s="226">
        <f>MAX(0,MIN(100%,SUM(E39))*E43)</f>
        <v>0</v>
      </c>
      <c r="H40" s="96" t="s">
        <v>87</v>
      </c>
      <c r="T40" s="96"/>
    </row>
    <row r="41" spans="1:20" ht="14.25" x14ac:dyDescent="0.2">
      <c r="H41" s="96" t="s">
        <v>87</v>
      </c>
      <c r="T41" s="96"/>
    </row>
    <row r="42" spans="1:20" ht="14.25" x14ac:dyDescent="0.2">
      <c r="A42" s="640" t="s">
        <v>685</v>
      </c>
      <c r="B42" s="124">
        <v>58</v>
      </c>
      <c r="C42" s="105"/>
      <c r="D42" s="105"/>
      <c r="E42" s="106">
        <v>1</v>
      </c>
      <c r="H42" s="96" t="s">
        <v>87</v>
      </c>
      <c r="T42" s="96" t="s">
        <v>87</v>
      </c>
    </row>
    <row r="43" spans="1:20" ht="14.25" x14ac:dyDescent="0.2">
      <c r="A43" s="146" t="s">
        <v>686</v>
      </c>
      <c r="B43" s="234">
        <v>1</v>
      </c>
      <c r="C43" s="224"/>
      <c r="D43" s="225"/>
      <c r="E43" s="219">
        <f>E49+IF(E45&lt;&gt;"-",MAX(E44-SUM(E45),0),0)</f>
        <v>0</v>
      </c>
      <c r="H43" s="96" t="s">
        <v>87</v>
      </c>
      <c r="T43" s="96" t="s">
        <v>87</v>
      </c>
    </row>
    <row r="44" spans="1:20" ht="14.25" x14ac:dyDescent="0.2">
      <c r="A44" s="129" t="s">
        <v>687</v>
      </c>
      <c r="B44" s="234">
        <v>2</v>
      </c>
      <c r="C44" s="145"/>
      <c r="D44" s="230"/>
      <c r="E44" s="226">
        <f>K49-L49</f>
        <v>0</v>
      </c>
      <c r="H44" s="96" t="s">
        <v>87</v>
      </c>
      <c r="T44" s="96" t="s">
        <v>87</v>
      </c>
    </row>
    <row r="45" spans="1:20" ht="14.25" x14ac:dyDescent="0.2">
      <c r="A45" s="651" t="s">
        <v>688</v>
      </c>
      <c r="B45" s="261">
        <v>3</v>
      </c>
      <c r="C45" s="262"/>
      <c r="D45" s="323"/>
      <c r="E45" s="652">
        <f>'ICS.Balance sheet'!L113</f>
        <v>0</v>
      </c>
      <c r="H45" s="96" t="s">
        <v>87</v>
      </c>
      <c r="T45" s="96" t="s">
        <v>87</v>
      </c>
    </row>
    <row r="46" spans="1:20" ht="14.25" customHeight="1" x14ac:dyDescent="0.2">
      <c r="H46" s="96" t="s">
        <v>87</v>
      </c>
      <c r="T46" s="96" t="s">
        <v>87</v>
      </c>
    </row>
    <row r="47" spans="1:20" ht="48" x14ac:dyDescent="0.25">
      <c r="A47" s="653" t="s">
        <v>689</v>
      </c>
      <c r="B47" s="654"/>
      <c r="C47" s="655" t="s">
        <v>690</v>
      </c>
      <c r="D47" s="655" t="s">
        <v>691</v>
      </c>
      <c r="E47" s="655" t="s">
        <v>692</v>
      </c>
      <c r="H47" s="96" t="s">
        <v>87</v>
      </c>
      <c r="J47" s="656" t="s">
        <v>693</v>
      </c>
      <c r="K47" s="657" t="s">
        <v>690</v>
      </c>
      <c r="L47" s="658" t="s">
        <v>691</v>
      </c>
      <c r="M47" s="659" t="s">
        <v>694</v>
      </c>
      <c r="N47" s="660"/>
      <c r="O47" s="660"/>
      <c r="P47" s="660"/>
      <c r="Q47" s="660"/>
      <c r="R47" s="661"/>
      <c r="T47" s="96" t="s">
        <v>87</v>
      </c>
    </row>
    <row r="48" spans="1:20" ht="14.25" x14ac:dyDescent="0.2">
      <c r="A48" s="662"/>
      <c r="B48" s="124">
        <v>59</v>
      </c>
      <c r="C48" s="167">
        <v>1</v>
      </c>
      <c r="D48" s="167">
        <v>2</v>
      </c>
      <c r="E48" s="167">
        <v>3</v>
      </c>
      <c r="F48" s="643" t="s">
        <v>695</v>
      </c>
      <c r="H48" s="96" t="s">
        <v>87</v>
      </c>
      <c r="J48" s="112"/>
      <c r="K48" s="112"/>
      <c r="L48" s="146"/>
      <c r="M48" s="150"/>
      <c r="N48" s="99"/>
      <c r="O48" s="99"/>
      <c r="P48" s="99"/>
      <c r="Q48" s="99"/>
      <c r="R48" s="586"/>
      <c r="T48" s="96" t="s">
        <v>87</v>
      </c>
    </row>
    <row r="49" spans="1:20" ht="14.25" x14ac:dyDescent="0.2">
      <c r="A49" s="663" t="s">
        <v>33</v>
      </c>
      <c r="B49" s="234" t="s">
        <v>696</v>
      </c>
      <c r="C49" s="127">
        <f>SUM($C51,C52,C53,C54,$C55,$C56)</f>
        <v>0</v>
      </c>
      <c r="D49" s="127">
        <f>SUM($C51,D52,D53,D54,$C55,$C56)</f>
        <v>0</v>
      </c>
      <c r="E49" s="664">
        <f>SUM(L49,C56)</f>
        <v>0</v>
      </c>
      <c r="F49" s="665"/>
      <c r="H49" s="96" t="s">
        <v>87</v>
      </c>
      <c r="J49" s="666" t="s">
        <v>33</v>
      </c>
      <c r="K49" s="667">
        <f>SQRT(SUMPRODUCT(-K51:K55,MMULT(--$N51:$R55,-K51:K55)))</f>
        <v>0</v>
      </c>
      <c r="L49" s="667">
        <f>SQRT(SUMPRODUCT(-L51:L55,MMULT(--$N51:$R55,-L51:L55)))</f>
        <v>0</v>
      </c>
      <c r="M49" s="668" t="s">
        <v>90</v>
      </c>
      <c r="N49" s="669" t="s">
        <v>697</v>
      </c>
      <c r="O49" s="669" t="s">
        <v>38</v>
      </c>
      <c r="P49" s="669" t="s">
        <v>698</v>
      </c>
      <c r="Q49" s="669" t="s">
        <v>699</v>
      </c>
      <c r="R49" s="670" t="s">
        <v>700</v>
      </c>
      <c r="T49" s="96" t="s">
        <v>87</v>
      </c>
    </row>
    <row r="50" spans="1:20" ht="14.25" x14ac:dyDescent="0.2">
      <c r="A50" s="671" t="s">
        <v>701</v>
      </c>
      <c r="B50" s="234"/>
      <c r="C50" s="672"/>
      <c r="D50" s="673"/>
      <c r="E50" s="130"/>
      <c r="F50" s="674"/>
      <c r="H50" s="96" t="s">
        <v>87</v>
      </c>
      <c r="J50" s="112"/>
      <c r="K50" s="112"/>
      <c r="L50" s="112"/>
      <c r="M50" s="675"/>
      <c r="N50" s="676">
        <v>1</v>
      </c>
      <c r="O50" s="676">
        <v>2</v>
      </c>
      <c r="P50" s="676">
        <v>3</v>
      </c>
      <c r="Q50" s="676">
        <v>4</v>
      </c>
      <c r="R50" s="677">
        <v>5</v>
      </c>
      <c r="T50" s="96" t="s">
        <v>87</v>
      </c>
    </row>
    <row r="51" spans="1:20" ht="14.25" x14ac:dyDescent="0.2">
      <c r="A51" s="678" t="s">
        <v>36</v>
      </c>
      <c r="B51" s="234">
        <v>2</v>
      </c>
      <c r="C51" s="1450">
        <f>'ICS.Non-Life type risk'!G8</f>
        <v>0</v>
      </c>
      <c r="D51" s="1451"/>
      <c r="E51" s="130"/>
      <c r="F51" s="674" t="str">
        <f ca="1">HYPERLINK("#"&amp;CELL("address",'ICS.Non-Life type risk'!A1),"+")</f>
        <v>+</v>
      </c>
      <c r="H51" s="96" t="s">
        <v>87</v>
      </c>
      <c r="J51" s="679" t="s">
        <v>697</v>
      </c>
      <c r="K51" s="680">
        <f>SUM(C51)</f>
        <v>0</v>
      </c>
      <c r="L51" s="680">
        <f>SUM(C51)</f>
        <v>0</v>
      </c>
      <c r="M51" s="681">
        <v>1</v>
      </c>
      <c r="N51" s="682">
        <v>1</v>
      </c>
      <c r="O51" s="683">
        <v>0.25</v>
      </c>
      <c r="P51" s="683">
        <v>0</v>
      </c>
      <c r="Q51" s="683">
        <v>0.25</v>
      </c>
      <c r="R51" s="684">
        <v>0.25</v>
      </c>
      <c r="T51" s="96" t="s">
        <v>87</v>
      </c>
    </row>
    <row r="52" spans="1:20" ht="14.25" x14ac:dyDescent="0.2">
      <c r="A52" s="678" t="s">
        <v>38</v>
      </c>
      <c r="B52" s="234">
        <v>3</v>
      </c>
      <c r="C52" s="685">
        <f>ICS.Catastrophe!$D$7</f>
        <v>0</v>
      </c>
      <c r="D52" s="685">
        <f>ICS.Catastrophe!$E$7</f>
        <v>0</v>
      </c>
      <c r="E52" s="130"/>
      <c r="F52" s="674" t="str">
        <f ca="1">HYPERLINK("#"&amp;CELL("address",ICS.Catastrophe!A1),"+")</f>
        <v>+</v>
      </c>
      <c r="H52" s="96" t="s">
        <v>87</v>
      </c>
      <c r="J52" s="679" t="s">
        <v>38</v>
      </c>
      <c r="K52" s="680">
        <f>SUM(C52)</f>
        <v>0</v>
      </c>
      <c r="L52" s="680">
        <f>SUM(D52)</f>
        <v>0</v>
      </c>
      <c r="M52" s="681">
        <v>2</v>
      </c>
      <c r="N52" s="686">
        <f>INDEX(N51:R55,N$50,$M52)</f>
        <v>0.25</v>
      </c>
      <c r="O52" s="687">
        <v>1</v>
      </c>
      <c r="P52" s="688">
        <v>0.25</v>
      </c>
      <c r="Q52" s="688">
        <v>0.25</v>
      </c>
      <c r="R52" s="689">
        <v>0.25</v>
      </c>
      <c r="T52" s="96" t="s">
        <v>87</v>
      </c>
    </row>
    <row r="53" spans="1:20" ht="14.25" x14ac:dyDescent="0.2">
      <c r="A53" s="678" t="s">
        <v>40</v>
      </c>
      <c r="B53" s="234">
        <v>4</v>
      </c>
      <c r="C53" s="284">
        <f>'ICS.Life type risk'!H20</f>
        <v>0</v>
      </c>
      <c r="D53" s="284">
        <f>'ICS.Life type risk'!H8</f>
        <v>0</v>
      </c>
      <c r="E53" s="130"/>
      <c r="F53" s="674" t="str">
        <f ca="1">HYPERLINK("#"&amp;CELL("address",'ICS.Life type risk'!A1),"+")</f>
        <v>+</v>
      </c>
      <c r="H53" s="96" t="s">
        <v>87</v>
      </c>
      <c r="J53" s="679" t="s">
        <v>698</v>
      </c>
      <c r="K53" s="680">
        <f>SUM(C53)</f>
        <v>0</v>
      </c>
      <c r="L53" s="680">
        <f>SUM(D53)</f>
        <v>0</v>
      </c>
      <c r="M53" s="681">
        <v>3</v>
      </c>
      <c r="N53" s="686">
        <f>INDEX(N51:R55,N$50,$M53)</f>
        <v>0</v>
      </c>
      <c r="O53" s="687">
        <f>INDEX(N51:R55,O$50,$M53)</f>
        <v>0.25</v>
      </c>
      <c r="P53" s="687">
        <v>1</v>
      </c>
      <c r="Q53" s="688">
        <v>0.25</v>
      </c>
      <c r="R53" s="689">
        <v>0.25</v>
      </c>
      <c r="T53" s="96" t="s">
        <v>87</v>
      </c>
    </row>
    <row r="54" spans="1:20" ht="14.25" x14ac:dyDescent="0.2">
      <c r="A54" s="671" t="s">
        <v>702</v>
      </c>
      <c r="B54" s="234">
        <v>5</v>
      </c>
      <c r="C54" s="281">
        <f>'ICS.Market risk'!C11</f>
        <v>0</v>
      </c>
      <c r="D54" s="281">
        <f>'ICS.Market risk'!D11</f>
        <v>0</v>
      </c>
      <c r="E54" s="130"/>
      <c r="F54" s="674" t="str">
        <f ca="1">HYPERLINK("#"&amp;CELL("address",'ICS.Market risk'!$A$9),"+")</f>
        <v>+</v>
      </c>
      <c r="H54" s="96" t="s">
        <v>87</v>
      </c>
      <c r="J54" s="690" t="s">
        <v>699</v>
      </c>
      <c r="K54" s="680">
        <f>SUM(C54)</f>
        <v>0</v>
      </c>
      <c r="L54" s="680">
        <f>SUM(D54)</f>
        <v>0</v>
      </c>
      <c r="M54" s="681">
        <v>4</v>
      </c>
      <c r="N54" s="686">
        <f>INDEX(N51:R55,N$50,$M54)</f>
        <v>0.25</v>
      </c>
      <c r="O54" s="687">
        <f>INDEX(N51:R55,O$50,$M54)</f>
        <v>0.25</v>
      </c>
      <c r="P54" s="687">
        <f>INDEX(N51:R55,P$50,$M54)</f>
        <v>0.25</v>
      </c>
      <c r="Q54" s="687">
        <v>1</v>
      </c>
      <c r="R54" s="689">
        <v>0.25</v>
      </c>
      <c r="T54" s="96" t="s">
        <v>87</v>
      </c>
    </row>
    <row r="55" spans="1:20" ht="14.25" x14ac:dyDescent="0.2">
      <c r="A55" s="671" t="s">
        <v>55</v>
      </c>
      <c r="B55" s="234">
        <v>6</v>
      </c>
      <c r="C55" s="1450">
        <f>'ICS.Credit risk'!$C$7</f>
        <v>0</v>
      </c>
      <c r="D55" s="1451"/>
      <c r="E55" s="130"/>
      <c r="F55" s="674" t="str">
        <f ca="1">HYPERLINK("#"&amp;CELL("address",'ICS.Credit risk'!$A$1),"+")</f>
        <v>+</v>
      </c>
      <c r="H55" s="96" t="s">
        <v>87</v>
      </c>
      <c r="J55" s="691" t="s">
        <v>700</v>
      </c>
      <c r="K55" s="692">
        <f>SUM(C55)</f>
        <v>0</v>
      </c>
      <c r="L55" s="692">
        <f>SUM(C55)</f>
        <v>0</v>
      </c>
      <c r="M55" s="693">
        <v>5</v>
      </c>
      <c r="N55" s="694">
        <f>INDEX(N51:R55,N$50,$M55)</f>
        <v>0.25</v>
      </c>
      <c r="O55" s="695">
        <f>INDEX(N51:R55,O$50,$M55)</f>
        <v>0.25</v>
      </c>
      <c r="P55" s="695">
        <f>INDEX(N51:R55,P$50,$M55)</f>
        <v>0.25</v>
      </c>
      <c r="Q55" s="695">
        <f>INDEX(N51:R55,Q$50,$M55)</f>
        <v>0.25</v>
      </c>
      <c r="R55" s="696">
        <v>1</v>
      </c>
      <c r="T55" s="96" t="s">
        <v>87</v>
      </c>
    </row>
    <row r="56" spans="1:20" ht="14.25" x14ac:dyDescent="0.2">
      <c r="A56" s="697" t="s">
        <v>57</v>
      </c>
      <c r="B56" s="261">
        <v>7</v>
      </c>
      <c r="C56" s="1450">
        <f>'ICS.Operational risk'!C6</f>
        <v>0</v>
      </c>
      <c r="D56" s="1451"/>
      <c r="E56" s="275"/>
      <c r="F56" s="698" t="str">
        <f ca="1">HYPERLINK("#"&amp;CELL("address",'ICS.Operational risk'!$A$1),"+")</f>
        <v>+</v>
      </c>
      <c r="H56" s="96" t="s">
        <v>87</v>
      </c>
      <c r="T56" s="96" t="s">
        <v>87</v>
      </c>
    </row>
    <row r="57" spans="1:20" ht="14.25" x14ac:dyDescent="0.2">
      <c r="H57" s="96" t="s">
        <v>87</v>
      </c>
      <c r="T57" s="96" t="s">
        <v>87</v>
      </c>
    </row>
    <row r="58" spans="1:20" ht="14.25" x14ac:dyDescent="0.2">
      <c r="A58" s="96" t="s">
        <v>87</v>
      </c>
      <c r="B58" s="96" t="s">
        <v>87</v>
      </c>
      <c r="C58" s="96" t="s">
        <v>87</v>
      </c>
      <c r="D58" s="96" t="s">
        <v>87</v>
      </c>
      <c r="E58" s="96" t="s">
        <v>87</v>
      </c>
      <c r="F58" s="96" t="s">
        <v>87</v>
      </c>
      <c r="G58" s="96" t="s">
        <v>87</v>
      </c>
      <c r="H58" s="96" t="s">
        <v>87</v>
      </c>
      <c r="I58" s="96" t="s">
        <v>87</v>
      </c>
      <c r="J58" s="96" t="s">
        <v>87</v>
      </c>
      <c r="K58" s="96" t="s">
        <v>87</v>
      </c>
      <c r="L58" s="96" t="s">
        <v>87</v>
      </c>
      <c r="M58" s="96" t="s">
        <v>87</v>
      </c>
      <c r="N58" s="96" t="s">
        <v>87</v>
      </c>
      <c r="O58" s="96" t="s">
        <v>87</v>
      </c>
      <c r="P58" s="96" t="s">
        <v>87</v>
      </c>
      <c r="Q58" s="96" t="s">
        <v>87</v>
      </c>
      <c r="R58" s="96" t="s">
        <v>87</v>
      </c>
      <c r="S58" s="96" t="s">
        <v>87</v>
      </c>
      <c r="T58" s="96" t="s">
        <v>87</v>
      </c>
    </row>
  </sheetData>
  <mergeCells count="3">
    <mergeCell ref="C51:D51"/>
    <mergeCell ref="C55:D55"/>
    <mergeCell ref="C56:D56"/>
  </mergeCells>
  <printOptions horizontalCentered="1"/>
  <pageMargins left="0.23622047244094491" right="0.23622047244094491" top="0.74803149606299213" bottom="0.74803149606299213" header="0.31496062992125984" footer="0.31496062992125984"/>
  <pageSetup paperSize="9"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AQ306"/>
  <sheetViews>
    <sheetView topLeftCell="A6" workbookViewId="0">
      <selection activeCell="A6" sqref="A6"/>
    </sheetView>
  </sheetViews>
  <sheetFormatPr defaultRowHeight="12.75" x14ac:dyDescent="0.2"/>
  <cols>
    <col min="1" max="1" width="30.7109375" customWidth="1"/>
    <col min="2" max="2" width="3.28515625" customWidth="1"/>
    <col min="3" max="3" width="9.42578125" customWidth="1"/>
    <col min="4" max="11" width="8.7109375" customWidth="1"/>
    <col min="12" max="14" width="5.7109375" customWidth="1"/>
    <col min="15" max="15" width="0.85546875" customWidth="1"/>
    <col min="16" max="16" width="2" customWidth="1"/>
    <col min="17" max="20" width="4" customWidth="1"/>
    <col min="21" max="21" width="7.28515625" customWidth="1"/>
    <col min="22" max="22" width="8.42578125" customWidth="1"/>
    <col min="23" max="23" width="8.28515625" customWidth="1"/>
    <col min="24" max="24" width="3.28515625" customWidth="1"/>
    <col min="25" max="25" width="4.5703125" customWidth="1"/>
    <col min="26" max="26" width="8.7109375" customWidth="1"/>
    <col min="27" max="27" width="8.85546875" customWidth="1"/>
    <col min="28" max="29" width="9.140625" customWidth="1"/>
    <col min="30" max="30" width="8.7109375" customWidth="1"/>
    <col min="31" max="31" width="10" customWidth="1"/>
    <col min="32" max="32" width="2.7109375" customWidth="1"/>
    <col min="33" max="33" width="8.28515625" customWidth="1"/>
    <col min="34" max="34" width="6.28515625" customWidth="1"/>
    <col min="35" max="35" width="3" customWidth="1"/>
    <col min="36" max="36" width="4.140625" customWidth="1"/>
    <col min="37" max="40" width="9.140625" customWidth="1"/>
    <col min="41" max="41" width="1.7109375" customWidth="1"/>
    <col min="42" max="42" width="2" customWidth="1"/>
  </cols>
  <sheetData>
    <row r="1" spans="1:43" x14ac:dyDescent="0.2">
      <c r="A1" s="93" t="str">
        <f>FT15.Participant!$A$1</f>
        <v>&lt;IAIG's Name&gt;</v>
      </c>
      <c r="B1" s="94"/>
      <c r="C1" s="94"/>
      <c r="D1" s="94"/>
      <c r="E1" s="94"/>
      <c r="F1" s="94"/>
      <c r="G1" s="94"/>
      <c r="H1" s="94"/>
      <c r="I1" s="94"/>
      <c r="J1" s="94"/>
      <c r="K1" s="94"/>
      <c r="L1" s="94"/>
      <c r="M1" s="94"/>
      <c r="N1" s="95" t="str">
        <f ca="1">HYPERLINK("#"&amp;CELL("address",FT15.IndexSheet),Version)</f>
        <v>2015 IAIS Field Testing Template</v>
      </c>
      <c r="P1" s="699" t="s">
        <v>87</v>
      </c>
      <c r="AP1" s="699" t="s">
        <v>87</v>
      </c>
    </row>
    <row r="2" spans="1:43" ht="15" x14ac:dyDescent="0.25">
      <c r="A2" s="97" t="str">
        <f>FT15.Participant!$A$2</f>
        <v>&lt;Currency&gt; - (&lt;Unit&gt;)</v>
      </c>
      <c r="B2" s="98" t="s">
        <v>703</v>
      </c>
      <c r="C2" s="99"/>
      <c r="D2" s="99"/>
      <c r="E2" s="99"/>
      <c r="F2" s="99"/>
      <c r="G2" s="99"/>
      <c r="H2" s="99"/>
      <c r="I2" s="99"/>
      <c r="J2" s="99"/>
      <c r="K2" s="99"/>
      <c r="L2" s="99"/>
      <c r="M2" s="99"/>
      <c r="N2" s="100" t="str">
        <f>FT15.Participant!$E$2</f>
        <v xml:space="preserve">&lt;Reporting Date&gt; - </v>
      </c>
      <c r="P2" s="699" t="s">
        <v>87</v>
      </c>
      <c r="AP2" s="699" t="s">
        <v>87</v>
      </c>
    </row>
    <row r="3" spans="1:43" ht="14.25" x14ac:dyDescent="0.2">
      <c r="P3" s="699" t="s">
        <v>87</v>
      </c>
      <c r="Y3" s="700"/>
      <c r="Z3" s="701"/>
      <c r="AA3" s="702"/>
      <c r="AC3" s="703"/>
      <c r="AD3" s="704"/>
      <c r="AE3" s="705"/>
      <c r="AP3" s="699" t="s">
        <v>87</v>
      </c>
    </row>
    <row r="4" spans="1:43" x14ac:dyDescent="0.2">
      <c r="I4" t="s">
        <v>704</v>
      </c>
      <c r="P4" s="699" t="s">
        <v>87</v>
      </c>
      <c r="AO4" s="706"/>
      <c r="AP4" s="699" t="s">
        <v>87</v>
      </c>
    </row>
    <row r="5" spans="1:43" ht="14.25" x14ac:dyDescent="0.2">
      <c r="A5" s="707"/>
      <c r="B5" s="708"/>
      <c r="C5" s="707"/>
      <c r="D5" s="94"/>
      <c r="E5" s="94"/>
      <c r="F5" s="101"/>
      <c r="G5" s="1452" t="s">
        <v>705</v>
      </c>
      <c r="H5" s="1421" t="s">
        <v>706</v>
      </c>
      <c r="I5" s="1421" t="s">
        <v>707</v>
      </c>
      <c r="P5" s="699" t="s">
        <v>87</v>
      </c>
      <c r="AO5" s="706"/>
      <c r="AP5" s="699" t="s">
        <v>87</v>
      </c>
    </row>
    <row r="6" spans="1:43" ht="14.25" x14ac:dyDescent="0.2">
      <c r="A6" s="280" t="s">
        <v>708</v>
      </c>
      <c r="B6" s="709"/>
      <c r="C6" s="710" t="s">
        <v>709</v>
      </c>
      <c r="D6" s="710" t="s">
        <v>710</v>
      </c>
      <c r="E6" s="710" t="s">
        <v>350</v>
      </c>
      <c r="F6" s="710" t="s">
        <v>711</v>
      </c>
      <c r="G6" s="1453"/>
      <c r="H6" s="1423"/>
      <c r="I6" s="1423"/>
      <c r="P6" s="699" t="s">
        <v>87</v>
      </c>
      <c r="U6" s="711" t="s">
        <v>712</v>
      </c>
      <c r="V6" s="712"/>
      <c r="W6" s="713"/>
      <c r="Y6" s="714" t="s">
        <v>90</v>
      </c>
      <c r="Z6" s="714" t="s">
        <v>713</v>
      </c>
      <c r="AA6" s="715"/>
      <c r="AB6" s="715"/>
      <c r="AC6" s="715"/>
      <c r="AD6" s="715"/>
      <c r="AE6" s="716" t="s">
        <v>714</v>
      </c>
      <c r="AG6" s="717" t="s">
        <v>715</v>
      </c>
      <c r="AH6" s="677"/>
      <c r="AJ6" s="714" t="s">
        <v>90</v>
      </c>
      <c r="AK6" s="714" t="s">
        <v>716</v>
      </c>
      <c r="AL6" s="715"/>
      <c r="AM6" s="715"/>
      <c r="AN6" s="718" t="s">
        <v>717</v>
      </c>
      <c r="AO6" s="706"/>
      <c r="AP6" s="699" t="s">
        <v>87</v>
      </c>
      <c r="AQ6" s="719"/>
    </row>
    <row r="7" spans="1:43" ht="14.25" x14ac:dyDescent="0.2">
      <c r="A7" s="720"/>
      <c r="B7" s="104">
        <v>60</v>
      </c>
      <c r="C7" s="167">
        <v>1</v>
      </c>
      <c r="D7" s="167">
        <v>2</v>
      </c>
      <c r="E7" s="167">
        <v>3</v>
      </c>
      <c r="F7" s="167">
        <v>4</v>
      </c>
      <c r="G7" s="167">
        <v>5</v>
      </c>
      <c r="H7" s="167">
        <v>6</v>
      </c>
      <c r="I7" s="214">
        <v>7</v>
      </c>
      <c r="P7" s="699" t="s">
        <v>87</v>
      </c>
      <c r="U7" s="721" t="s">
        <v>718</v>
      </c>
      <c r="V7" s="722" t="s">
        <v>719</v>
      </c>
      <c r="W7" s="722" t="s">
        <v>720</v>
      </c>
      <c r="Y7" s="723" t="s">
        <v>90</v>
      </c>
      <c r="Z7" s="724" t="s">
        <v>721</v>
      </c>
      <c r="AA7" s="725" t="s">
        <v>722</v>
      </c>
      <c r="AB7" s="725" t="s">
        <v>723</v>
      </c>
      <c r="AC7" s="725" t="s">
        <v>724</v>
      </c>
      <c r="AD7" s="725" t="s">
        <v>725</v>
      </c>
      <c r="AE7" s="726" t="s">
        <v>726</v>
      </c>
      <c r="AG7" s="727" t="s">
        <v>727</v>
      </c>
      <c r="AH7" s="728"/>
      <c r="AJ7" s="723" t="s">
        <v>90</v>
      </c>
      <c r="AK7" s="724" t="s">
        <v>709</v>
      </c>
      <c r="AL7" s="725" t="s">
        <v>710</v>
      </c>
      <c r="AM7" s="725" t="s">
        <v>350</v>
      </c>
      <c r="AN7" s="725" t="s">
        <v>711</v>
      </c>
      <c r="AO7" s="706"/>
      <c r="AP7" s="699" t="s">
        <v>87</v>
      </c>
      <c r="AQ7" s="719"/>
    </row>
    <row r="8" spans="1:43" x14ac:dyDescent="0.2">
      <c r="A8" s="93" t="s">
        <v>728</v>
      </c>
      <c r="B8" s="234">
        <v>1</v>
      </c>
      <c r="C8" s="224"/>
      <c r="D8" s="225"/>
      <c r="E8" s="225"/>
      <c r="F8" s="225"/>
      <c r="G8" s="172">
        <f>SQRT(SUMPRODUCT(-G9:G14,MMULT(--ICS.NL.Corr.Areas,-G9:G14)))</f>
        <v>0</v>
      </c>
      <c r="H8" s="172">
        <f>SUM(H9:H14)</f>
        <v>0</v>
      </c>
      <c r="I8" s="172">
        <f>SUM(I9:I14)</f>
        <v>0</v>
      </c>
      <c r="J8" s="729" t="s">
        <v>695</v>
      </c>
      <c r="K8" s="730"/>
      <c r="L8" s="730"/>
      <c r="M8" s="730"/>
      <c r="N8" s="731"/>
      <c r="P8" s="699" t="s">
        <v>87</v>
      </c>
      <c r="U8" s="732">
        <v>1</v>
      </c>
      <c r="V8" s="645">
        <v>0.15</v>
      </c>
      <c r="W8" s="645">
        <v>0.1</v>
      </c>
      <c r="Y8" s="104"/>
      <c r="Z8" s="733">
        <v>1</v>
      </c>
      <c r="AA8" s="733">
        <v>2</v>
      </c>
      <c r="AB8" s="733">
        <v>3</v>
      </c>
      <c r="AC8" s="733">
        <v>4</v>
      </c>
      <c r="AD8" s="733">
        <v>5</v>
      </c>
      <c r="AE8" s="734">
        <v>6</v>
      </c>
      <c r="AG8" s="735"/>
      <c r="AH8" s="716" t="s">
        <v>729</v>
      </c>
      <c r="AJ8" s="104"/>
      <c r="AK8" s="736">
        <v>1</v>
      </c>
      <c r="AL8" s="736">
        <v>2</v>
      </c>
      <c r="AM8" s="736">
        <v>3</v>
      </c>
      <c r="AN8" s="737">
        <v>4</v>
      </c>
      <c r="AO8" s="706"/>
      <c r="AP8" s="699" t="s">
        <v>87</v>
      </c>
      <c r="AQ8" s="719"/>
    </row>
    <row r="9" spans="1:43" ht="14.25" x14ac:dyDescent="0.2">
      <c r="A9" s="738" t="s">
        <v>721</v>
      </c>
      <c r="B9" s="234">
        <v>2</v>
      </c>
      <c r="C9" s="282">
        <f>SUMIF($K$20:$K$35,C$6,$C$20:$C$35)</f>
        <v>0</v>
      </c>
      <c r="D9" s="282">
        <f>SUMIF($K$20:$K$35,D$6,$C$20:$C$35)</f>
        <v>0</v>
      </c>
      <c r="E9" s="282">
        <f>SUMIF($K$20:$K$35,E$6,$C$20:$C$35)</f>
        <v>0</v>
      </c>
      <c r="F9" s="282">
        <f>SUMIF($K$20:$K$35,F$6,$C$20:$C$35)</f>
        <v>0</v>
      </c>
      <c r="G9" s="739">
        <f t="shared" ref="G9:G14" si="0">SQRT(SUMPRODUCT(MMULT(-C9:F9,--ICS.NL.Corr.Categ),-C9:F9))</f>
        <v>0</v>
      </c>
      <c r="H9" s="282">
        <f>SUMIF($K$20:$K$35,H$5,$C$20:$C$35)</f>
        <v>0</v>
      </c>
      <c r="I9" s="740">
        <f>SUMIF($K$20:$K$35,I$5,$C$20:$C$35)</f>
        <v>0</v>
      </c>
      <c r="J9" s="741" t="str">
        <f ca="1">HYPERLINK("#"&amp;CELL("address",A18),"EEA")</f>
        <v>EEA</v>
      </c>
      <c r="K9" s="225"/>
      <c r="L9" s="225"/>
      <c r="M9" s="225"/>
      <c r="N9" s="742"/>
      <c r="P9" s="699" t="s">
        <v>87</v>
      </c>
      <c r="U9" s="743">
        <v>2</v>
      </c>
      <c r="V9" s="744">
        <v>0.25</v>
      </c>
      <c r="W9" s="744">
        <v>0.2</v>
      </c>
      <c r="Y9" s="745">
        <v>1</v>
      </c>
      <c r="Z9" s="682">
        <v>1</v>
      </c>
      <c r="AA9" s="683">
        <v>0.25</v>
      </c>
      <c r="AB9" s="683">
        <v>0.25</v>
      </c>
      <c r="AC9" s="683">
        <v>0.25</v>
      </c>
      <c r="AD9" s="683">
        <v>0.25</v>
      </c>
      <c r="AE9" s="684">
        <v>0.25</v>
      </c>
      <c r="AG9" s="746" t="s">
        <v>709</v>
      </c>
      <c r="AH9" s="747">
        <v>0.25</v>
      </c>
      <c r="AJ9" s="745">
        <v>1</v>
      </c>
      <c r="AK9" s="682">
        <v>1</v>
      </c>
      <c r="AL9" s="683">
        <v>0.5</v>
      </c>
      <c r="AM9" s="683">
        <v>0.5</v>
      </c>
      <c r="AN9" s="684">
        <v>0.5</v>
      </c>
      <c r="AO9" s="706"/>
      <c r="AP9" s="699" t="s">
        <v>87</v>
      </c>
      <c r="AQ9" s="719"/>
    </row>
    <row r="10" spans="1:43" ht="14.25" x14ac:dyDescent="0.2">
      <c r="A10" s="738" t="s">
        <v>722</v>
      </c>
      <c r="B10" s="234">
        <v>3</v>
      </c>
      <c r="C10" s="285">
        <f>SUMIF($K$40:$K$60,C$6,$C$40:$C$60)+SUMIF($K$65:$K$85,C$6,$C$65:$C$85)</f>
        <v>0</v>
      </c>
      <c r="D10" s="285">
        <f>SUMIF($K$40:$K$60,D$6,$C$40:$C$60)+SUMIF($K$65:$K$85,D$6,$C$65:$C$85)</f>
        <v>0</v>
      </c>
      <c r="E10" s="285">
        <f>SUMIF($K$40:$K$60,E$6,$C$40:$C$60)+SUMIF($K$65:$K$85,E$6,$C$65:$C$85)</f>
        <v>0</v>
      </c>
      <c r="F10" s="285">
        <f>SUMIF($K$40:$K$60,F$6,$C$40:$C$60)+SUMIF($K$65:$K$85,F$6,$C$65:$C$85)</f>
        <v>0</v>
      </c>
      <c r="G10" s="739">
        <f t="shared" si="0"/>
        <v>0</v>
      </c>
      <c r="H10" s="285">
        <f>SUMIF($K$40:$K$60,H$5,$C$40:$C$60)+SUMIF($K$65:$K$85,H$5,$C$65:$C$85)</f>
        <v>0</v>
      </c>
      <c r="I10" s="748">
        <f>SUMIF($K$40:$K$60,I$5,$C$40:$C$60)+SUMIF($K$65:$K$85,I$5,$C$65:$C$85)</f>
        <v>0</v>
      </c>
      <c r="J10" s="749" t="str">
        <f ca="1">HYPERLINK("#"&amp;CELL("address",A38),"CA")</f>
        <v>CA</v>
      </c>
      <c r="K10" s="750" t="str">
        <f ca="1">HYPERLINK("#"&amp;CELL("address",A63),"US")</f>
        <v>US</v>
      </c>
      <c r="L10" s="230"/>
      <c r="M10" s="230"/>
      <c r="N10" s="111"/>
      <c r="P10" s="699" t="s">
        <v>87</v>
      </c>
      <c r="U10" s="743">
        <v>3</v>
      </c>
      <c r="V10" s="744">
        <v>0.3</v>
      </c>
      <c r="W10" s="744">
        <v>0.25</v>
      </c>
      <c r="Y10" s="745">
        <v>2</v>
      </c>
      <c r="Z10" s="686">
        <f>INDEX(Z9:AE14,Z8,Y10)</f>
        <v>0.25</v>
      </c>
      <c r="AA10" s="687">
        <v>1</v>
      </c>
      <c r="AB10" s="688">
        <v>0.25</v>
      </c>
      <c r="AC10" s="688">
        <v>0.25</v>
      </c>
      <c r="AD10" s="688">
        <v>0.25</v>
      </c>
      <c r="AE10" s="689">
        <v>0.25</v>
      </c>
      <c r="AG10" s="751" t="s">
        <v>710</v>
      </c>
      <c r="AH10" s="752">
        <v>0.75</v>
      </c>
      <c r="AJ10" s="745">
        <v>2</v>
      </c>
      <c r="AK10" s="686">
        <f>INDEX(AK9:AN12,AK8,AJ10)</f>
        <v>0.5</v>
      </c>
      <c r="AL10" s="687">
        <v>1</v>
      </c>
      <c r="AM10" s="688">
        <v>0.5</v>
      </c>
      <c r="AN10" s="689">
        <v>0.5</v>
      </c>
      <c r="AO10" s="706"/>
      <c r="AP10" s="699" t="s">
        <v>87</v>
      </c>
      <c r="AQ10" s="719"/>
    </row>
    <row r="11" spans="1:43" ht="14.25" x14ac:dyDescent="0.2">
      <c r="A11" s="738" t="s">
        <v>723</v>
      </c>
      <c r="B11" s="234">
        <v>4</v>
      </c>
      <c r="C11" s="285">
        <f>SUMIF($K$90:$K$105,C$6,$C$90:$C$105)</f>
        <v>0</v>
      </c>
      <c r="D11" s="285">
        <f>SUMIF($K$90:$K$105,D$6,$C$90:$C$105)</f>
        <v>0</v>
      </c>
      <c r="E11" s="285">
        <f>SUMIF($K$90:$K$105,E$6,$C$90:$C$105)</f>
        <v>0</v>
      </c>
      <c r="F11" s="285">
        <f>SUMIF($K$90:$K$105,F$6,$C$90:$C$105)</f>
        <v>0</v>
      </c>
      <c r="G11" s="739">
        <f t="shared" si="0"/>
        <v>0</v>
      </c>
      <c r="H11" s="285">
        <f>SUMIF($K$90:$K$105,H$5,$C$90:$C$105)</f>
        <v>0</v>
      </c>
      <c r="I11" s="748">
        <f>SUMIF($K$90:$K$105,I$5,$C$90:$C$105)</f>
        <v>0</v>
      </c>
      <c r="J11" s="749" t="str">
        <f ca="1">HYPERLINK("#"&amp;CELL("address",A88),"JP")</f>
        <v>JP</v>
      </c>
      <c r="K11" s="230"/>
      <c r="L11" s="230"/>
      <c r="M11" s="230"/>
      <c r="N11" s="111"/>
      <c r="P11" s="699" t="s">
        <v>87</v>
      </c>
      <c r="U11" s="743">
        <v>4</v>
      </c>
      <c r="V11" s="744">
        <v>0.35</v>
      </c>
      <c r="W11" s="744">
        <v>0.3</v>
      </c>
      <c r="Y11" s="745">
        <v>3</v>
      </c>
      <c r="Z11" s="686">
        <f>INDEX(Z9:AE14,Z8,Y11)</f>
        <v>0.25</v>
      </c>
      <c r="AA11" s="687">
        <f>INDEX(Z9:AE14,AA8,Y11)</f>
        <v>0.25</v>
      </c>
      <c r="AB11" s="687">
        <v>1</v>
      </c>
      <c r="AC11" s="688">
        <v>0.25</v>
      </c>
      <c r="AD11" s="688">
        <v>0.25</v>
      </c>
      <c r="AE11" s="689">
        <v>0.25</v>
      </c>
      <c r="AG11" s="751" t="s">
        <v>350</v>
      </c>
      <c r="AH11" s="752">
        <v>0.5</v>
      </c>
      <c r="AJ11" s="745">
        <v>3</v>
      </c>
      <c r="AK11" s="686">
        <f>INDEX(AK9:AN12,AK8,AJ11)</f>
        <v>0.5</v>
      </c>
      <c r="AL11" s="687">
        <f>INDEX(AK9:AN12,AL8,AJ11)</f>
        <v>0.5</v>
      </c>
      <c r="AM11" s="687">
        <v>1</v>
      </c>
      <c r="AN11" s="689">
        <v>0.5</v>
      </c>
      <c r="AO11" s="706"/>
      <c r="AP11" s="699" t="s">
        <v>87</v>
      </c>
      <c r="AQ11" s="719"/>
    </row>
    <row r="12" spans="1:43" ht="14.25" x14ac:dyDescent="0.2">
      <c r="A12" s="738" t="s">
        <v>724</v>
      </c>
      <c r="B12" s="234">
        <v>5</v>
      </c>
      <c r="C12" s="285">
        <f>SUMIF($K$110:$K$119,C$6,$C$110:$C$119)</f>
        <v>0</v>
      </c>
      <c r="D12" s="285">
        <f>SUMIF($K$110:$K$119,D$6,$C$110:$C$119)</f>
        <v>0</v>
      </c>
      <c r="E12" s="285">
        <f>SUMIF($K$110:$K$119,E$6,$C$110:$C$119)</f>
        <v>0</v>
      </c>
      <c r="F12" s="285">
        <f>SUMIF($K$110:$K$119,F$6,$C$110:$C$119)</f>
        <v>0</v>
      </c>
      <c r="G12" s="739">
        <f t="shared" si="0"/>
        <v>0</v>
      </c>
      <c r="H12" s="285">
        <f>SUMIF($K$110:$K$119,H$5,$C$110:$C$119)</f>
        <v>0</v>
      </c>
      <c r="I12" s="748">
        <f>SUMIF($K$110:$K$119,I$5,$C$110:$C$119)</f>
        <v>0</v>
      </c>
      <c r="J12" s="749" t="str">
        <f ca="1">HYPERLINK("#"&amp;CELL("address",A108),"CN")</f>
        <v>CN</v>
      </c>
      <c r="K12" s="230"/>
      <c r="L12" s="230"/>
      <c r="M12" s="230"/>
      <c r="N12" s="111"/>
      <c r="P12" s="699" t="s">
        <v>87</v>
      </c>
      <c r="U12" s="743">
        <v>5</v>
      </c>
      <c r="V12" s="744">
        <v>0.45</v>
      </c>
      <c r="W12" s="744">
        <v>0.35</v>
      </c>
      <c r="Y12" s="745">
        <v>4</v>
      </c>
      <c r="Z12" s="686">
        <f>INDEX(Z9:AE14,Z8,Y12)</f>
        <v>0.25</v>
      </c>
      <c r="AA12" s="687">
        <f>INDEX(Z9:AE14,AA8,Y12)</f>
        <v>0.25</v>
      </c>
      <c r="AB12" s="687">
        <f>INDEX(Z9:AE14,AB8,Y12)</f>
        <v>0.25</v>
      </c>
      <c r="AC12" s="687">
        <v>1</v>
      </c>
      <c r="AD12" s="688">
        <v>0.25</v>
      </c>
      <c r="AE12" s="689">
        <v>0.25</v>
      </c>
      <c r="AG12" s="751" t="s">
        <v>711</v>
      </c>
      <c r="AH12" s="752">
        <v>0.5</v>
      </c>
      <c r="AJ12" s="753">
        <v>4</v>
      </c>
      <c r="AK12" s="694">
        <f>INDEX(AK9:AN12,AK8,AJ12)</f>
        <v>0.5</v>
      </c>
      <c r="AL12" s="695">
        <f>INDEX(AK9:AN12,AL8,AJ12)</f>
        <v>0.5</v>
      </c>
      <c r="AM12" s="695">
        <f>INDEX(AK9:AN12,AM8,AJ12)</f>
        <v>0.5</v>
      </c>
      <c r="AN12" s="696">
        <v>1</v>
      </c>
      <c r="AO12" s="706"/>
      <c r="AP12" s="699" t="s">
        <v>87</v>
      </c>
      <c r="AQ12" s="719"/>
    </row>
    <row r="13" spans="1:43" ht="14.25" x14ac:dyDescent="0.2">
      <c r="A13" s="738" t="s">
        <v>725</v>
      </c>
      <c r="B13" s="234">
        <v>6</v>
      </c>
      <c r="C13" s="285">
        <f>SUMIF($K$124:$K$171,C$6,$C$124:$C$171)+SUMIF($K$176:$K$185,C$6,$C$176:$C$185)+SUMIF($K$190:$K$202,C$6,$C$190:$C$202)+SUMIF($K$207:$K$221,C$6,$C$207:$C$221)+SUMIF($K$226:$K$252,C$6,$C$226:$C$252)+SUMIF($K$257:$K$278,C$6,$C$257:$C$278)</f>
        <v>0</v>
      </c>
      <c r="D13" s="285">
        <f>SUMIF($K$124:$K$171,D$6,$C$124:$C$171)+SUMIF($K$176:$K$185,D$6,$C$176:$C$185)+SUMIF($K$190:$K$202,D$6,$C$190:$C$202)+SUMIF($K$207:$K$221,D$6,$C$207:$C$221)+SUMIF($K$226:$K$252,D$6,$C$226:$C$252)+SUMIF($K$257:$K$278,D$6,$C$257:$C$278)</f>
        <v>0</v>
      </c>
      <c r="E13" s="285">
        <f>SUMIF($K$124:$K$171,E$6,$C$124:$C$171)+SUMIF($K$176:$K$185,E$6,$C$176:$C$185)+SUMIF($K$190:$K$202,E$6,$C$190:$C$202)+SUMIF($K$207:$K$221,E$6,$C$207:$C$221)+SUMIF($K$226:$K$252,E$6,$C$226:$C$252)+SUMIF($K$257:$K$278,E$6,$C$257:$C$278)</f>
        <v>0</v>
      </c>
      <c r="F13" s="285">
        <f>SUMIF($K$124:$K$171,F$6,$C$124:$C$171)+SUMIF($K$176:$K$185,F$6,$C$176:$C$185)+SUMIF($K$190:$K$202,F$6,$C$190:$C$202)+SUMIF($K$207:$K$221,F$6,$C$207:$C$221)+SUMIF($K$226:$K$252,F$6,$C$226:$C$252)+SUMIF($K$257:$K$278,F$6,$C$257:$C$278)</f>
        <v>0</v>
      </c>
      <c r="G13" s="739">
        <f t="shared" si="0"/>
        <v>0</v>
      </c>
      <c r="H13" s="285">
        <f>SUMIF($K$124:$K$171,H$5,$C$124:$C$171)+SUMIF($K$176:$K$185,H$5,$C$176:$C$185)+SUMIF($K$190:$K$202,H$5,$C$190:$C$202)+SUMIF($K$207:$K$221,H$5,$C$207:$C$221)+SUMIF($K$226:$K$252,H$5,$C$226:$C$252)+SUMIF($K$257:$K$278,H$5,$C$257:$C$278)</f>
        <v>0</v>
      </c>
      <c r="I13" s="285">
        <f>SUMIF($K$124:$K$171,I$5,$C$124:$C$171)+SUMIF($K$176:$K$185,I$5,$C$176:$C$185)+SUMIF($K$190:$K$202,I$5,$C$190:$C$202)+SUMIF($K$207:$K$221,I$5,$C$207:$C$221)+SUMIF($K$226:$K$252,I$5,$C$226:$C$252)+SUMIF($K$257:$K$278,I$5,$C$257:$C$278)</f>
        <v>0</v>
      </c>
      <c r="J13" s="749" t="str">
        <f ca="1">HYPERLINK("#"&amp;CELL("address",A122),"AU &amp; NZ")</f>
        <v>AU &amp; NZ</v>
      </c>
      <c r="K13" s="750" t="str">
        <f ca="1">HYPERLINK("#"&amp;CELL("address",A174),"HK")</f>
        <v>HK</v>
      </c>
      <c r="L13" s="750" t="str">
        <f ca="1">HYPERLINK("#"&amp;CELL("address",A188),"KR")</f>
        <v>KR</v>
      </c>
      <c r="M13" s="750" t="str">
        <f ca="1">HYPERLINK("#"&amp;CELL("address",A205),"SG")</f>
        <v>SG</v>
      </c>
      <c r="N13" s="754" t="str">
        <f ca="1">HYPERLINK("#"&amp;CELL("address",A224),"TW")</f>
        <v>TW</v>
      </c>
      <c r="P13" s="699" t="s">
        <v>87</v>
      </c>
      <c r="U13" s="743">
        <v>6</v>
      </c>
      <c r="V13" s="744">
        <v>0.5</v>
      </c>
      <c r="W13" s="744">
        <v>0.4</v>
      </c>
      <c r="Y13" s="745">
        <v>5</v>
      </c>
      <c r="Z13" s="686">
        <f>INDEX(Z9:AE14,Z8,Y13)</f>
        <v>0.25</v>
      </c>
      <c r="AA13" s="687">
        <f>INDEX(Z9:AE14,AA8,Y13)</f>
        <v>0.25</v>
      </c>
      <c r="AB13" s="687">
        <f>INDEX(Z9:AE14,AB8,Y13)</f>
        <v>0.25</v>
      </c>
      <c r="AC13" s="687">
        <f>INDEX(AA9:AE13,AC8,Y13)</f>
        <v>0.25</v>
      </c>
      <c r="AD13" s="687">
        <v>1</v>
      </c>
      <c r="AE13" s="689">
        <v>0.25</v>
      </c>
      <c r="AG13" s="751" t="s">
        <v>706</v>
      </c>
      <c r="AH13" s="752">
        <v>0.75</v>
      </c>
      <c r="AO13" s="706"/>
      <c r="AP13" s="699" t="s">
        <v>87</v>
      </c>
      <c r="AQ13" s="719"/>
    </row>
    <row r="14" spans="1:43" ht="14.25" x14ac:dyDescent="0.2">
      <c r="A14" s="755" t="s">
        <v>726</v>
      </c>
      <c r="B14" s="261">
        <v>7</v>
      </c>
      <c r="C14" s="153">
        <f>SUMIF($K$283:$K$304,C$6,$C$283:$C$304)</f>
        <v>0</v>
      </c>
      <c r="D14" s="153">
        <f>SUMIF($K$283:$K$304,D$6,$C$283:$C$304)</f>
        <v>0</v>
      </c>
      <c r="E14" s="153">
        <f>SUMIF($K$283:$K$304,E$6,$C$283:$C$304)</f>
        <v>0</v>
      </c>
      <c r="F14" s="153">
        <f>SUMIF($K$283:$K$304,F$6,$C$283:$C$304)</f>
        <v>0</v>
      </c>
      <c r="G14" s="756">
        <f t="shared" si="0"/>
        <v>0</v>
      </c>
      <c r="H14" s="153">
        <f>SUMIF($K$283:$K$304,H$5,$C$283:$C$304)</f>
        <v>0</v>
      </c>
      <c r="I14" s="757">
        <f>SUMIF($K$283:$K$304,I$5,$C$283:$C$304)</f>
        <v>0</v>
      </c>
      <c r="J14" s="758" t="str">
        <f ca="1">HYPERLINK("#"&amp;CELL("address",A281),"+")</f>
        <v>+</v>
      </c>
      <c r="K14" s="323"/>
      <c r="L14" s="323"/>
      <c r="M14" s="323"/>
      <c r="N14" s="151"/>
      <c r="P14" s="699" t="s">
        <v>87</v>
      </c>
      <c r="U14" s="743">
        <v>7</v>
      </c>
      <c r="V14" s="744">
        <v>0.55000000000000004</v>
      </c>
      <c r="W14" s="744">
        <v>0.45</v>
      </c>
      <c r="Y14" s="753">
        <v>6</v>
      </c>
      <c r="Z14" s="694">
        <f>INDEX(Z9:AE14,Z8,Y14)</f>
        <v>0.25</v>
      </c>
      <c r="AA14" s="695">
        <f>INDEX(Z9:AE14,AA8,Y14)</f>
        <v>0.25</v>
      </c>
      <c r="AB14" s="695">
        <f>INDEX(Z9:AE14,AB8,Y14)</f>
        <v>0.25</v>
      </c>
      <c r="AC14" s="695">
        <f>INDEX(Z9:AE14,AC8,Y14)</f>
        <v>0.25</v>
      </c>
      <c r="AD14" s="695">
        <f>INDEX(Z9:AE14,AD8,Y14)</f>
        <v>0.25</v>
      </c>
      <c r="AE14" s="696">
        <v>1</v>
      </c>
      <c r="AG14" s="759" t="s">
        <v>707</v>
      </c>
      <c r="AH14" s="760">
        <v>0.75</v>
      </c>
      <c r="AJ14" s="700"/>
      <c r="AK14" s="761"/>
      <c r="AL14" s="761"/>
      <c r="AM14" s="761"/>
      <c r="AN14" s="761"/>
      <c r="AO14" s="706"/>
      <c r="AP14" s="699" t="s">
        <v>87</v>
      </c>
      <c r="AQ14" s="719"/>
    </row>
    <row r="15" spans="1:43" x14ac:dyDescent="0.2">
      <c r="P15" s="699" t="s">
        <v>87</v>
      </c>
      <c r="U15" s="762">
        <v>8</v>
      </c>
      <c r="V15" s="646">
        <v>0.7</v>
      </c>
      <c r="W15" s="646">
        <v>0.5</v>
      </c>
      <c r="AJ15" s="719"/>
      <c r="AK15" s="719"/>
      <c r="AL15" s="719"/>
      <c r="AM15" s="719"/>
      <c r="AN15" s="719"/>
      <c r="AO15" s="706"/>
      <c r="AP15" s="699" t="s">
        <v>87</v>
      </c>
      <c r="AQ15" s="719"/>
    </row>
    <row r="16" spans="1:43" x14ac:dyDescent="0.2">
      <c r="G16" s="148"/>
      <c r="H16" s="148"/>
      <c r="P16" s="699" t="s">
        <v>87</v>
      </c>
      <c r="AO16" s="706"/>
      <c r="AP16" s="699" t="s">
        <v>87</v>
      </c>
    </row>
    <row r="17" spans="1:42" ht="14.25" customHeight="1" x14ac:dyDescent="0.2">
      <c r="A17" s="763" t="s">
        <v>730</v>
      </c>
      <c r="B17" s="764"/>
      <c r="C17" s="765" t="s">
        <v>731</v>
      </c>
      <c r="D17" s="766" t="s">
        <v>732</v>
      </c>
      <c r="E17" s="767"/>
      <c r="F17" s="767"/>
      <c r="G17" s="768"/>
      <c r="H17" s="769" t="s">
        <v>733</v>
      </c>
      <c r="I17" s="770"/>
      <c r="J17" s="770"/>
      <c r="K17" s="771" t="s">
        <v>33</v>
      </c>
      <c r="L17" s="772" t="s">
        <v>734</v>
      </c>
      <c r="M17" s="770"/>
      <c r="N17" s="770"/>
      <c r="P17" s="699" t="s">
        <v>87</v>
      </c>
      <c r="R17" s="773" t="s">
        <v>735</v>
      </c>
      <c r="S17" s="770"/>
      <c r="AO17" s="706"/>
      <c r="AP17" s="699" t="s">
        <v>87</v>
      </c>
    </row>
    <row r="18" spans="1:42" ht="15" customHeight="1" x14ac:dyDescent="0.25">
      <c r="A18" s="774" t="s">
        <v>721</v>
      </c>
      <c r="B18" s="775"/>
      <c r="C18" s="776" t="s">
        <v>736</v>
      </c>
      <c r="D18" s="777" t="s">
        <v>173</v>
      </c>
      <c r="E18" s="777" t="s">
        <v>737</v>
      </c>
      <c r="F18" s="777" t="s">
        <v>738</v>
      </c>
      <c r="G18" s="777" t="s">
        <v>739</v>
      </c>
      <c r="H18" s="777" t="s">
        <v>737</v>
      </c>
      <c r="I18" s="777" t="s">
        <v>738</v>
      </c>
      <c r="J18" s="777" t="s">
        <v>740</v>
      </c>
      <c r="K18" s="778" t="s">
        <v>8</v>
      </c>
      <c r="L18" s="779" t="s">
        <v>741</v>
      </c>
      <c r="M18" s="779" t="s">
        <v>742</v>
      </c>
      <c r="N18" s="780" t="s">
        <v>743</v>
      </c>
      <c r="P18" s="699" t="s">
        <v>87</v>
      </c>
      <c r="R18" s="777" t="s">
        <v>744</v>
      </c>
      <c r="S18" s="777" t="s">
        <v>745</v>
      </c>
      <c r="AP18" s="699" t="s">
        <v>87</v>
      </c>
    </row>
    <row r="19" spans="1:42" ht="14.25" x14ac:dyDescent="0.2">
      <c r="A19" s="662"/>
      <c r="B19" s="104">
        <v>61</v>
      </c>
      <c r="C19" s="167" t="s">
        <v>746</v>
      </c>
      <c r="D19" s="167" t="s">
        <v>747</v>
      </c>
      <c r="E19" s="167">
        <v>3</v>
      </c>
      <c r="F19" s="167">
        <v>4</v>
      </c>
      <c r="G19" s="167">
        <v>5</v>
      </c>
      <c r="H19" s="167">
        <v>6</v>
      </c>
      <c r="I19" s="167">
        <v>7</v>
      </c>
      <c r="J19" s="167">
        <v>8</v>
      </c>
      <c r="K19" s="167"/>
      <c r="L19" s="167"/>
      <c r="M19" s="167"/>
      <c r="N19" s="214"/>
      <c r="P19" s="699" t="s">
        <v>87</v>
      </c>
      <c r="R19" s="781"/>
      <c r="S19" s="106"/>
      <c r="AP19" s="699" t="s">
        <v>87</v>
      </c>
    </row>
    <row r="20" spans="1:42" x14ac:dyDescent="0.2">
      <c r="A20" s="641" t="s">
        <v>748</v>
      </c>
      <c r="B20" s="169">
        <v>1</v>
      </c>
      <c r="C20" s="282" t="str">
        <f t="shared" ref="C20:C35" si="1">IF(OR(D20&lt;&gt;"-",I20&lt;&gt;"-"),SQRT(PRODUCT(L20,SUM(D20))^2+PRODUCT(M20,SUM(I20))^2+2*PRODUCT(N20,L20,SUM(D20),M20,SUM(I20))),"-")</f>
        <v>-</v>
      </c>
      <c r="D20" s="782" t="str">
        <f t="shared" ref="D20:D35" si="2">IF(OR(F20&lt;&gt;"-",G20&lt;&gt;"-"),MAX(SUM(F20),SUM(G20)),"-")</f>
        <v>-</v>
      </c>
      <c r="E20" s="149" t="s">
        <v>90</v>
      </c>
      <c r="F20" s="149" t="s">
        <v>90</v>
      </c>
      <c r="G20" s="149" t="s">
        <v>90</v>
      </c>
      <c r="H20" s="149" t="s">
        <v>90</v>
      </c>
      <c r="I20" s="149" t="s">
        <v>90</v>
      </c>
      <c r="J20" s="149" t="s">
        <v>90</v>
      </c>
      <c r="K20" s="783" t="s">
        <v>350</v>
      </c>
      <c r="L20" s="784">
        <f t="shared" ref="L20:L35" si="3">IFERROR(INDEX(ICS.NL.Buckets.P,R20),"-")</f>
        <v>0.15</v>
      </c>
      <c r="M20" s="784">
        <f t="shared" ref="M20:M35" si="4">IFERROR(INDEX(ICS.NL.Buckets.R,S20),"-")</f>
        <v>0.1</v>
      </c>
      <c r="N20" s="645">
        <f t="shared" ref="N20:N35" si="5">IFERROR(INDEX(ICS.NL.Corr.P_R,MATCH(K20,ICS.NL.CategMapping,0)),1)</f>
        <v>0.5</v>
      </c>
      <c r="P20" s="699" t="s">
        <v>87</v>
      </c>
      <c r="R20" s="785">
        <v>1</v>
      </c>
      <c r="S20" s="785">
        <v>1</v>
      </c>
      <c r="U20" s="4" t="s">
        <v>749</v>
      </c>
      <c r="AP20" s="699" t="s">
        <v>87</v>
      </c>
    </row>
    <row r="21" spans="1:42" x14ac:dyDescent="0.2">
      <c r="A21" s="641" t="s">
        <v>750</v>
      </c>
      <c r="B21" s="169">
        <v>2</v>
      </c>
      <c r="C21" s="285" t="str">
        <f t="shared" si="1"/>
        <v>-</v>
      </c>
      <c r="D21" s="739" t="str">
        <f t="shared" si="2"/>
        <v>-</v>
      </c>
      <c r="E21" s="137" t="s">
        <v>90</v>
      </c>
      <c r="F21" s="137" t="s">
        <v>90</v>
      </c>
      <c r="G21" s="137" t="s">
        <v>90</v>
      </c>
      <c r="H21" s="137" t="s">
        <v>90</v>
      </c>
      <c r="I21" s="137" t="s">
        <v>90</v>
      </c>
      <c r="J21" s="137" t="s">
        <v>90</v>
      </c>
      <c r="K21" s="786" t="s">
        <v>350</v>
      </c>
      <c r="L21" s="787">
        <f t="shared" si="3"/>
        <v>0.25</v>
      </c>
      <c r="M21" s="788">
        <f t="shared" si="4"/>
        <v>0.35</v>
      </c>
      <c r="N21" s="788">
        <f t="shared" si="5"/>
        <v>0.5</v>
      </c>
      <c r="P21" s="699" t="s">
        <v>87</v>
      </c>
      <c r="R21" s="785">
        <v>2</v>
      </c>
      <c r="S21" s="743">
        <v>5</v>
      </c>
      <c r="U21" s="4" t="s">
        <v>751</v>
      </c>
      <c r="AP21" s="699" t="s">
        <v>87</v>
      </c>
    </row>
    <row r="22" spans="1:42" x14ac:dyDescent="0.2">
      <c r="A22" s="641" t="s">
        <v>752</v>
      </c>
      <c r="B22" s="169">
        <v>3</v>
      </c>
      <c r="C22" s="285" t="str">
        <f t="shared" si="1"/>
        <v>-</v>
      </c>
      <c r="D22" s="739" t="str">
        <f t="shared" si="2"/>
        <v>-</v>
      </c>
      <c r="E22" s="137" t="s">
        <v>90</v>
      </c>
      <c r="F22" s="137" t="s">
        <v>90</v>
      </c>
      <c r="G22" s="137" t="s">
        <v>90</v>
      </c>
      <c r="H22" s="137" t="s">
        <v>90</v>
      </c>
      <c r="I22" s="137" t="s">
        <v>90</v>
      </c>
      <c r="J22" s="137" t="s">
        <v>90</v>
      </c>
      <c r="K22" s="786" t="s">
        <v>710</v>
      </c>
      <c r="L22" s="787">
        <f t="shared" si="3"/>
        <v>0.25</v>
      </c>
      <c r="M22" s="788">
        <f t="shared" si="4"/>
        <v>0.25</v>
      </c>
      <c r="N22" s="788">
        <f t="shared" si="5"/>
        <v>0.75</v>
      </c>
      <c r="P22" s="699" t="s">
        <v>87</v>
      </c>
      <c r="R22" s="785">
        <v>2</v>
      </c>
      <c r="S22" s="743">
        <v>3</v>
      </c>
      <c r="U22" s="4" t="s">
        <v>751</v>
      </c>
      <c r="AP22" s="699" t="s">
        <v>87</v>
      </c>
    </row>
    <row r="23" spans="1:42" x14ac:dyDescent="0.2">
      <c r="A23" s="641" t="s">
        <v>753</v>
      </c>
      <c r="B23" s="169">
        <v>4</v>
      </c>
      <c r="C23" s="285" t="str">
        <f t="shared" si="1"/>
        <v>-</v>
      </c>
      <c r="D23" s="739" t="str">
        <f t="shared" si="2"/>
        <v>-</v>
      </c>
      <c r="E23" s="137" t="s">
        <v>90</v>
      </c>
      <c r="F23" s="137" t="s">
        <v>90</v>
      </c>
      <c r="G23" s="137" t="s">
        <v>90</v>
      </c>
      <c r="H23" s="137" t="s">
        <v>90</v>
      </c>
      <c r="I23" s="137" t="s">
        <v>90</v>
      </c>
      <c r="J23" s="137" t="s">
        <v>90</v>
      </c>
      <c r="K23" s="786" t="s">
        <v>710</v>
      </c>
      <c r="L23" s="787">
        <f t="shared" si="3"/>
        <v>0.3</v>
      </c>
      <c r="M23" s="788">
        <f t="shared" si="4"/>
        <v>0.2</v>
      </c>
      <c r="N23" s="788">
        <f t="shared" si="5"/>
        <v>0.75</v>
      </c>
      <c r="P23" s="699" t="s">
        <v>87</v>
      </c>
      <c r="R23" s="785">
        <v>3</v>
      </c>
      <c r="S23" s="743">
        <v>2</v>
      </c>
      <c r="U23" s="4" t="s">
        <v>754</v>
      </c>
      <c r="AP23" s="699" t="s">
        <v>87</v>
      </c>
    </row>
    <row r="24" spans="1:42" x14ac:dyDescent="0.2">
      <c r="A24" s="641" t="s">
        <v>755</v>
      </c>
      <c r="B24" s="169">
        <v>5</v>
      </c>
      <c r="C24" s="285" t="str">
        <f t="shared" si="1"/>
        <v>-</v>
      </c>
      <c r="D24" s="739" t="str">
        <f t="shared" si="2"/>
        <v>-</v>
      </c>
      <c r="E24" s="137" t="s">
        <v>90</v>
      </c>
      <c r="F24" s="137" t="s">
        <v>90</v>
      </c>
      <c r="G24" s="137" t="s">
        <v>90</v>
      </c>
      <c r="H24" s="137" t="s">
        <v>90</v>
      </c>
      <c r="I24" s="137" t="s">
        <v>90</v>
      </c>
      <c r="J24" s="137" t="s">
        <v>90</v>
      </c>
      <c r="K24" s="786" t="s">
        <v>709</v>
      </c>
      <c r="L24" s="787">
        <f t="shared" si="3"/>
        <v>0.25</v>
      </c>
      <c r="M24" s="788">
        <f t="shared" si="4"/>
        <v>0.2</v>
      </c>
      <c r="N24" s="788">
        <f t="shared" si="5"/>
        <v>0.25</v>
      </c>
      <c r="P24" s="699" t="s">
        <v>87</v>
      </c>
      <c r="R24" s="785">
        <v>2</v>
      </c>
      <c r="S24" s="743">
        <v>2</v>
      </c>
      <c r="U24" s="4" t="s">
        <v>749</v>
      </c>
      <c r="AP24" s="699" t="s">
        <v>87</v>
      </c>
    </row>
    <row r="25" spans="1:42" x14ac:dyDescent="0.2">
      <c r="A25" s="641" t="s">
        <v>756</v>
      </c>
      <c r="B25" s="169">
        <v>6</v>
      </c>
      <c r="C25" s="285" t="str">
        <f t="shared" si="1"/>
        <v>-</v>
      </c>
      <c r="D25" s="739" t="str">
        <f t="shared" si="2"/>
        <v>-</v>
      </c>
      <c r="E25" s="137" t="s">
        <v>90</v>
      </c>
      <c r="F25" s="137" t="s">
        <v>90</v>
      </c>
      <c r="G25" s="137" t="s">
        <v>90</v>
      </c>
      <c r="H25" s="137" t="s">
        <v>90</v>
      </c>
      <c r="I25" s="137" t="s">
        <v>90</v>
      </c>
      <c r="J25" s="137" t="s">
        <v>90</v>
      </c>
      <c r="K25" s="786" t="s">
        <v>709</v>
      </c>
      <c r="L25" s="787">
        <f t="shared" si="3"/>
        <v>0.35</v>
      </c>
      <c r="M25" s="788">
        <f t="shared" si="4"/>
        <v>0.25</v>
      </c>
      <c r="N25" s="788">
        <f t="shared" si="5"/>
        <v>0.25</v>
      </c>
      <c r="P25" s="699" t="s">
        <v>87</v>
      </c>
      <c r="R25" s="785">
        <v>4</v>
      </c>
      <c r="S25" s="743">
        <v>3</v>
      </c>
      <c r="U25" s="4" t="s">
        <v>754</v>
      </c>
      <c r="AP25" s="699" t="s">
        <v>87</v>
      </c>
    </row>
    <row r="26" spans="1:42" x14ac:dyDescent="0.2">
      <c r="A26" s="641" t="s">
        <v>757</v>
      </c>
      <c r="B26" s="169">
        <v>7</v>
      </c>
      <c r="C26" s="285" t="str">
        <f t="shared" si="1"/>
        <v>-</v>
      </c>
      <c r="D26" s="739" t="str">
        <f t="shared" si="2"/>
        <v>-</v>
      </c>
      <c r="E26" s="137" t="s">
        <v>90</v>
      </c>
      <c r="F26" s="137" t="s">
        <v>90</v>
      </c>
      <c r="G26" s="137" t="s">
        <v>90</v>
      </c>
      <c r="H26" s="137" t="s">
        <v>90</v>
      </c>
      <c r="I26" s="137" t="s">
        <v>90</v>
      </c>
      <c r="J26" s="137" t="s">
        <v>90</v>
      </c>
      <c r="K26" s="786" t="s">
        <v>709</v>
      </c>
      <c r="L26" s="787">
        <f t="shared" si="3"/>
        <v>0.25</v>
      </c>
      <c r="M26" s="788">
        <f t="shared" si="4"/>
        <v>0.25</v>
      </c>
      <c r="N26" s="788">
        <f t="shared" si="5"/>
        <v>0.25</v>
      </c>
      <c r="P26" s="699" t="s">
        <v>87</v>
      </c>
      <c r="R26" s="785">
        <v>2</v>
      </c>
      <c r="S26" s="743">
        <v>3</v>
      </c>
      <c r="U26" s="4" t="s">
        <v>749</v>
      </c>
      <c r="AP26" s="699" t="s">
        <v>87</v>
      </c>
    </row>
    <row r="27" spans="1:42" x14ac:dyDescent="0.2">
      <c r="A27" s="641" t="s">
        <v>758</v>
      </c>
      <c r="B27" s="169">
        <v>8</v>
      </c>
      <c r="C27" s="285" t="str">
        <f t="shared" si="1"/>
        <v>-</v>
      </c>
      <c r="D27" s="739" t="str">
        <f t="shared" si="2"/>
        <v>-</v>
      </c>
      <c r="E27" s="137" t="s">
        <v>90</v>
      </c>
      <c r="F27" s="137" t="s">
        <v>90</v>
      </c>
      <c r="G27" s="137" t="s">
        <v>90</v>
      </c>
      <c r="H27" s="137" t="s">
        <v>90</v>
      </c>
      <c r="I27" s="137" t="s">
        <v>90</v>
      </c>
      <c r="J27" s="137" t="s">
        <v>90</v>
      </c>
      <c r="K27" s="786" t="s">
        <v>710</v>
      </c>
      <c r="L27" s="787">
        <f t="shared" si="3"/>
        <v>0.35</v>
      </c>
      <c r="M27" s="788">
        <f t="shared" si="4"/>
        <v>0.25</v>
      </c>
      <c r="N27" s="788">
        <f t="shared" si="5"/>
        <v>0.75</v>
      </c>
      <c r="P27" s="699" t="s">
        <v>87</v>
      </c>
      <c r="R27" s="785">
        <v>4</v>
      </c>
      <c r="S27" s="743">
        <v>3</v>
      </c>
      <c r="U27" s="4" t="s">
        <v>751</v>
      </c>
      <c r="AP27" s="699" t="s">
        <v>87</v>
      </c>
    </row>
    <row r="28" spans="1:42" x14ac:dyDescent="0.2">
      <c r="A28" s="641" t="s">
        <v>759</v>
      </c>
      <c r="B28" s="169">
        <v>9</v>
      </c>
      <c r="C28" s="285" t="str">
        <f t="shared" si="1"/>
        <v>-</v>
      </c>
      <c r="D28" s="739" t="str">
        <f t="shared" si="2"/>
        <v>-</v>
      </c>
      <c r="E28" s="137" t="s">
        <v>90</v>
      </c>
      <c r="F28" s="137" t="s">
        <v>90</v>
      </c>
      <c r="G28" s="137" t="s">
        <v>90</v>
      </c>
      <c r="H28" s="137" t="s">
        <v>90</v>
      </c>
      <c r="I28" s="137" t="s">
        <v>90</v>
      </c>
      <c r="J28" s="137" t="s">
        <v>90</v>
      </c>
      <c r="K28" s="786" t="s">
        <v>707</v>
      </c>
      <c r="L28" s="787">
        <f t="shared" si="3"/>
        <v>0.3</v>
      </c>
      <c r="M28" s="788">
        <f t="shared" si="4"/>
        <v>0.4</v>
      </c>
      <c r="N28" s="788">
        <f t="shared" si="5"/>
        <v>0.75</v>
      </c>
      <c r="P28" s="699" t="s">
        <v>87</v>
      </c>
      <c r="R28" s="785">
        <v>3</v>
      </c>
      <c r="S28" s="743">
        <v>6</v>
      </c>
      <c r="U28" s="4" t="s">
        <v>754</v>
      </c>
      <c r="AP28" s="699" t="s">
        <v>87</v>
      </c>
    </row>
    <row r="29" spans="1:42" x14ac:dyDescent="0.2">
      <c r="A29" s="641" t="s">
        <v>760</v>
      </c>
      <c r="B29" s="169">
        <v>10</v>
      </c>
      <c r="C29" s="285" t="str">
        <f t="shared" si="1"/>
        <v>-</v>
      </c>
      <c r="D29" s="739" t="str">
        <f t="shared" si="2"/>
        <v>-</v>
      </c>
      <c r="E29" s="137" t="s">
        <v>90</v>
      </c>
      <c r="F29" s="137" t="s">
        <v>90</v>
      </c>
      <c r="G29" s="137" t="s">
        <v>90</v>
      </c>
      <c r="H29" s="137" t="s">
        <v>90</v>
      </c>
      <c r="I29" s="137" t="s">
        <v>90</v>
      </c>
      <c r="J29" s="137" t="s">
        <v>90</v>
      </c>
      <c r="K29" s="786" t="s">
        <v>350</v>
      </c>
      <c r="L29" s="787">
        <f t="shared" si="3"/>
        <v>0.15</v>
      </c>
      <c r="M29" s="788">
        <f t="shared" si="4"/>
        <v>0.3</v>
      </c>
      <c r="N29" s="788">
        <f t="shared" si="5"/>
        <v>0.5</v>
      </c>
      <c r="P29" s="699" t="s">
        <v>87</v>
      </c>
      <c r="R29" s="785">
        <v>1</v>
      </c>
      <c r="S29" s="743">
        <v>4</v>
      </c>
      <c r="U29" s="4" t="s">
        <v>751</v>
      </c>
      <c r="AP29" s="699" t="s">
        <v>87</v>
      </c>
    </row>
    <row r="30" spans="1:42" x14ac:dyDescent="0.2">
      <c r="A30" s="641" t="s">
        <v>761</v>
      </c>
      <c r="B30" s="169">
        <v>11</v>
      </c>
      <c r="C30" s="285" t="str">
        <f t="shared" si="1"/>
        <v>-</v>
      </c>
      <c r="D30" s="739" t="str">
        <f t="shared" si="2"/>
        <v>-</v>
      </c>
      <c r="E30" s="137" t="s">
        <v>90</v>
      </c>
      <c r="F30" s="137" t="s">
        <v>90</v>
      </c>
      <c r="G30" s="137" t="s">
        <v>90</v>
      </c>
      <c r="H30" s="137" t="s">
        <v>90</v>
      </c>
      <c r="I30" s="137" t="s">
        <v>90</v>
      </c>
      <c r="J30" s="137" t="s">
        <v>90</v>
      </c>
      <c r="K30" s="786" t="s">
        <v>350</v>
      </c>
      <c r="L30" s="787">
        <f t="shared" si="3"/>
        <v>0.25</v>
      </c>
      <c r="M30" s="788">
        <f t="shared" si="4"/>
        <v>0.45</v>
      </c>
      <c r="N30" s="788">
        <f t="shared" si="5"/>
        <v>0.5</v>
      </c>
      <c r="P30" s="699" t="s">
        <v>87</v>
      </c>
      <c r="R30" s="785">
        <v>2</v>
      </c>
      <c r="S30" s="743">
        <v>7</v>
      </c>
      <c r="U30" s="4" t="s">
        <v>749</v>
      </c>
      <c r="AP30" s="699" t="s">
        <v>87</v>
      </c>
    </row>
    <row r="31" spans="1:42" x14ac:dyDescent="0.2">
      <c r="A31" s="641" t="s">
        <v>762</v>
      </c>
      <c r="B31" s="169">
        <v>12</v>
      </c>
      <c r="C31" s="285" t="str">
        <f t="shared" si="1"/>
        <v>-</v>
      </c>
      <c r="D31" s="739" t="str">
        <f t="shared" si="2"/>
        <v>-</v>
      </c>
      <c r="E31" s="137" t="s">
        <v>90</v>
      </c>
      <c r="F31" s="137" t="s">
        <v>90</v>
      </c>
      <c r="G31" s="137" t="s">
        <v>90</v>
      </c>
      <c r="H31" s="137" t="s">
        <v>90</v>
      </c>
      <c r="I31" s="137" t="s">
        <v>90</v>
      </c>
      <c r="J31" s="137" t="s">
        <v>90</v>
      </c>
      <c r="K31" s="786" t="s">
        <v>350</v>
      </c>
      <c r="L31" s="787">
        <f t="shared" si="3"/>
        <v>0.3</v>
      </c>
      <c r="M31" s="788">
        <f t="shared" si="4"/>
        <v>0.45</v>
      </c>
      <c r="N31" s="788">
        <f t="shared" si="5"/>
        <v>0.5</v>
      </c>
      <c r="P31" s="699" t="s">
        <v>87</v>
      </c>
      <c r="R31" s="785">
        <v>3</v>
      </c>
      <c r="S31" s="743">
        <v>7</v>
      </c>
      <c r="U31" s="4" t="s">
        <v>754</v>
      </c>
      <c r="AP31" s="699" t="s">
        <v>87</v>
      </c>
    </row>
    <row r="32" spans="1:42" x14ac:dyDescent="0.2">
      <c r="A32" s="641" t="s">
        <v>763</v>
      </c>
      <c r="B32" s="169">
        <v>13</v>
      </c>
      <c r="C32" s="285" t="str">
        <f t="shared" si="1"/>
        <v>-</v>
      </c>
      <c r="D32" s="739" t="str">
        <f t="shared" si="2"/>
        <v>-</v>
      </c>
      <c r="E32" s="137" t="s">
        <v>90</v>
      </c>
      <c r="F32" s="137" t="s">
        <v>90</v>
      </c>
      <c r="G32" s="137" t="s">
        <v>90</v>
      </c>
      <c r="H32" s="137" t="s">
        <v>90</v>
      </c>
      <c r="I32" s="137" t="s">
        <v>90</v>
      </c>
      <c r="J32" s="137" t="s">
        <v>90</v>
      </c>
      <c r="K32" s="786" t="s">
        <v>350</v>
      </c>
      <c r="L32" s="787">
        <f t="shared" si="3"/>
        <v>0.5</v>
      </c>
      <c r="M32" s="788">
        <f t="shared" si="4"/>
        <v>0.45</v>
      </c>
      <c r="N32" s="788">
        <f t="shared" si="5"/>
        <v>0.5</v>
      </c>
      <c r="P32" s="699" t="s">
        <v>87</v>
      </c>
      <c r="R32" s="785">
        <v>6</v>
      </c>
      <c r="S32" s="743">
        <v>7</v>
      </c>
      <c r="U32" s="4" t="s">
        <v>749</v>
      </c>
      <c r="AP32" s="699" t="s">
        <v>87</v>
      </c>
    </row>
    <row r="33" spans="1:43" x14ac:dyDescent="0.2">
      <c r="A33" s="641" t="s">
        <v>764</v>
      </c>
      <c r="B33" s="169">
        <v>14</v>
      </c>
      <c r="C33" s="285" t="str">
        <f t="shared" si="1"/>
        <v>-</v>
      </c>
      <c r="D33" s="739" t="str">
        <f t="shared" si="2"/>
        <v>-</v>
      </c>
      <c r="E33" s="137" t="s">
        <v>90</v>
      </c>
      <c r="F33" s="137" t="s">
        <v>90</v>
      </c>
      <c r="G33" s="137" t="s">
        <v>90</v>
      </c>
      <c r="H33" s="137" t="s">
        <v>90</v>
      </c>
      <c r="I33" s="137" t="s">
        <v>90</v>
      </c>
      <c r="J33" s="137" t="s">
        <v>90</v>
      </c>
      <c r="K33" s="786" t="s">
        <v>710</v>
      </c>
      <c r="L33" s="787">
        <f t="shared" si="3"/>
        <v>0.5</v>
      </c>
      <c r="M33" s="788">
        <f t="shared" si="4"/>
        <v>0.45</v>
      </c>
      <c r="N33" s="788">
        <f t="shared" si="5"/>
        <v>0.75</v>
      </c>
      <c r="P33" s="699" t="s">
        <v>87</v>
      </c>
      <c r="R33" s="785">
        <v>6</v>
      </c>
      <c r="S33" s="743">
        <v>7</v>
      </c>
      <c r="U33" s="4" t="s">
        <v>751</v>
      </c>
      <c r="AP33" s="699" t="s">
        <v>87</v>
      </c>
    </row>
    <row r="34" spans="1:43" x14ac:dyDescent="0.2">
      <c r="A34" s="641" t="s">
        <v>765</v>
      </c>
      <c r="B34" s="169">
        <v>15</v>
      </c>
      <c r="C34" s="285" t="str">
        <f t="shared" si="1"/>
        <v>-</v>
      </c>
      <c r="D34" s="739" t="str">
        <f t="shared" si="2"/>
        <v>-</v>
      </c>
      <c r="E34" s="137" t="s">
        <v>90</v>
      </c>
      <c r="F34" s="137" t="s">
        <v>90</v>
      </c>
      <c r="G34" s="137" t="s">
        <v>90</v>
      </c>
      <c r="H34" s="137" t="s">
        <v>90</v>
      </c>
      <c r="I34" s="137" t="s">
        <v>90</v>
      </c>
      <c r="J34" s="137" t="s">
        <v>90</v>
      </c>
      <c r="K34" s="786" t="s">
        <v>709</v>
      </c>
      <c r="L34" s="787">
        <f t="shared" si="3"/>
        <v>0.5</v>
      </c>
      <c r="M34" s="788">
        <f t="shared" si="4"/>
        <v>0.45</v>
      </c>
      <c r="N34" s="788">
        <f t="shared" si="5"/>
        <v>0.25</v>
      </c>
      <c r="P34" s="699" t="s">
        <v>87</v>
      </c>
      <c r="R34" s="785">
        <v>6</v>
      </c>
      <c r="S34" s="743">
        <v>7</v>
      </c>
      <c r="U34" s="4" t="s">
        <v>749</v>
      </c>
      <c r="AP34" s="699" t="s">
        <v>87</v>
      </c>
    </row>
    <row r="35" spans="1:43" x14ac:dyDescent="0.2">
      <c r="A35" s="97" t="s">
        <v>766</v>
      </c>
      <c r="B35" s="162">
        <v>16</v>
      </c>
      <c r="C35" s="153" t="str">
        <f t="shared" si="1"/>
        <v>-</v>
      </c>
      <c r="D35" s="756" t="str">
        <f t="shared" si="2"/>
        <v>-</v>
      </c>
      <c r="E35" s="139" t="s">
        <v>90</v>
      </c>
      <c r="F35" s="139" t="s">
        <v>90</v>
      </c>
      <c r="G35" s="139" t="s">
        <v>90</v>
      </c>
      <c r="H35" s="139" t="s">
        <v>90</v>
      </c>
      <c r="I35" s="139" t="s">
        <v>90</v>
      </c>
      <c r="J35" s="139" t="s">
        <v>90</v>
      </c>
      <c r="K35" s="789" t="s">
        <v>709</v>
      </c>
      <c r="L35" s="790">
        <f t="shared" si="3"/>
        <v>0.5</v>
      </c>
      <c r="M35" s="791">
        <f t="shared" si="4"/>
        <v>0.45</v>
      </c>
      <c r="N35" s="791">
        <f t="shared" si="5"/>
        <v>0.25</v>
      </c>
      <c r="P35" s="699" t="s">
        <v>87</v>
      </c>
      <c r="R35" s="792">
        <v>6</v>
      </c>
      <c r="S35" s="762">
        <v>7</v>
      </c>
      <c r="U35" s="4" t="s">
        <v>749</v>
      </c>
      <c r="AP35" s="699" t="s">
        <v>87</v>
      </c>
    </row>
    <row r="36" spans="1:43" x14ac:dyDescent="0.2">
      <c r="P36" s="699" t="s">
        <v>87</v>
      </c>
      <c r="AJ36" s="700"/>
      <c r="AK36" s="761"/>
      <c r="AL36" s="761"/>
      <c r="AM36" s="761"/>
      <c r="AN36" s="761"/>
      <c r="AO36" s="761"/>
      <c r="AP36" s="699" t="s">
        <v>87</v>
      </c>
      <c r="AQ36" s="719"/>
    </row>
    <row r="37" spans="1:43" ht="14.25" x14ac:dyDescent="0.2">
      <c r="A37" s="793" t="str">
        <f>$A$17</f>
        <v>Detailed information for</v>
      </c>
      <c r="B37" s="764"/>
      <c r="C37" s="765" t="s">
        <v>731</v>
      </c>
      <c r="D37" s="766" t="s">
        <v>732</v>
      </c>
      <c r="E37" s="767"/>
      <c r="F37" s="767"/>
      <c r="G37" s="768"/>
      <c r="H37" s="769" t="s">
        <v>733</v>
      </c>
      <c r="I37" s="770"/>
      <c r="J37" s="770"/>
      <c r="K37" s="771" t="s">
        <v>33</v>
      </c>
      <c r="L37" s="772" t="s">
        <v>734</v>
      </c>
      <c r="M37" s="770"/>
      <c r="N37" s="770"/>
      <c r="P37" s="699" t="s">
        <v>87</v>
      </c>
      <c r="R37" s="773" t="s">
        <v>735</v>
      </c>
      <c r="S37" s="770"/>
      <c r="AJ37" s="719"/>
      <c r="AK37" s="719"/>
      <c r="AL37" s="719"/>
      <c r="AM37" s="719"/>
      <c r="AN37" s="719"/>
      <c r="AO37" s="719"/>
      <c r="AP37" s="699" t="s">
        <v>87</v>
      </c>
      <c r="AQ37" s="719"/>
    </row>
    <row r="38" spans="1:43" ht="15" x14ac:dyDescent="0.25">
      <c r="A38" s="774" t="s">
        <v>767</v>
      </c>
      <c r="B38" s="775"/>
      <c r="C38" s="776" t="s">
        <v>736</v>
      </c>
      <c r="D38" s="777" t="s">
        <v>173</v>
      </c>
      <c r="E38" s="777" t="s">
        <v>737</v>
      </c>
      <c r="F38" s="777" t="s">
        <v>738</v>
      </c>
      <c r="G38" s="777" t="s">
        <v>739</v>
      </c>
      <c r="H38" s="777" t="s">
        <v>737</v>
      </c>
      <c r="I38" s="777" t="s">
        <v>738</v>
      </c>
      <c r="J38" s="777" t="s">
        <v>740</v>
      </c>
      <c r="K38" s="778" t="s">
        <v>8</v>
      </c>
      <c r="L38" s="779" t="s">
        <v>741</v>
      </c>
      <c r="M38" s="779" t="s">
        <v>742</v>
      </c>
      <c r="N38" s="780" t="s">
        <v>743</v>
      </c>
      <c r="P38" s="699" t="s">
        <v>87</v>
      </c>
      <c r="R38" s="777" t="s">
        <v>744</v>
      </c>
      <c r="S38" s="777" t="s">
        <v>745</v>
      </c>
      <c r="AJ38" s="719"/>
      <c r="AK38" s="719"/>
      <c r="AL38" s="719"/>
      <c r="AM38" s="719"/>
      <c r="AN38" s="719"/>
      <c r="AO38" s="719"/>
      <c r="AP38" s="699" t="s">
        <v>87</v>
      </c>
      <c r="AQ38" s="719"/>
    </row>
    <row r="39" spans="1:43" ht="14.25" x14ac:dyDescent="0.2">
      <c r="A39" s="662"/>
      <c r="B39" s="104">
        <v>62</v>
      </c>
      <c r="C39" s="167" t="s">
        <v>746</v>
      </c>
      <c r="D39" s="167" t="s">
        <v>747</v>
      </c>
      <c r="E39" s="167">
        <v>3</v>
      </c>
      <c r="F39" s="167">
        <v>4</v>
      </c>
      <c r="G39" s="167">
        <v>5</v>
      </c>
      <c r="H39" s="167">
        <v>6</v>
      </c>
      <c r="I39" s="167">
        <v>7</v>
      </c>
      <c r="J39" s="167">
        <v>8</v>
      </c>
      <c r="K39" s="167"/>
      <c r="L39" s="167"/>
      <c r="M39" s="167"/>
      <c r="N39" s="214"/>
      <c r="P39" s="699" t="s">
        <v>87</v>
      </c>
      <c r="R39" s="781"/>
      <c r="S39" s="106"/>
      <c r="AJ39" s="719"/>
      <c r="AK39" s="719"/>
      <c r="AL39" s="719"/>
      <c r="AM39" s="719"/>
      <c r="AN39" s="719"/>
      <c r="AO39" s="719"/>
      <c r="AP39" s="699" t="s">
        <v>87</v>
      </c>
      <c r="AQ39" s="719"/>
    </row>
    <row r="40" spans="1:43" x14ac:dyDescent="0.2">
      <c r="A40" s="641" t="s">
        <v>768</v>
      </c>
      <c r="B40" s="169">
        <v>1</v>
      </c>
      <c r="C40" s="285" t="str">
        <f t="shared" ref="C40:C60" si="6">IF(OR(D40&lt;&gt;"-",I40&lt;&gt;"-"),SQRT(PRODUCT(L40,SUM(D40))^2+PRODUCT(M40,SUM(I40))^2+2*PRODUCT(N40,L40,SUM(D40),M40,SUM(I40))),"-")</f>
        <v>-</v>
      </c>
      <c r="D40" s="133" t="str">
        <f t="shared" ref="D40:D60" si="7">IF(OR(F40&lt;&gt;"-",G40&lt;&gt;"-"),MAX(SUM(F40),SUM(G40)),"-")</f>
        <v>-</v>
      </c>
      <c r="E40" s="794" t="s">
        <v>90</v>
      </c>
      <c r="F40" s="794" t="s">
        <v>90</v>
      </c>
      <c r="G40" s="794" t="s">
        <v>90</v>
      </c>
      <c r="H40" s="137" t="s">
        <v>90</v>
      </c>
      <c r="I40" s="794" t="s">
        <v>90</v>
      </c>
      <c r="J40" s="794" t="s">
        <v>90</v>
      </c>
      <c r="K40" s="786" t="s">
        <v>709</v>
      </c>
      <c r="L40" s="787">
        <f t="shared" ref="L40:L60" si="8">IFERROR(INDEX(ICS.NL.Buckets.P,R40),"-")</f>
        <v>0.3</v>
      </c>
      <c r="M40" s="787">
        <f t="shared" ref="M40:M60" si="9">IFERROR(INDEX(ICS.NL.Buckets.R,S40),"-")</f>
        <v>0.25</v>
      </c>
      <c r="N40" s="788">
        <f t="shared" ref="N40:N60" si="10">IFERROR(INDEX(ICS.NL.Corr.P_R,MATCH(K40,ICS.NL.CategMapping,0)),1)</f>
        <v>0.25</v>
      </c>
      <c r="P40" s="699" t="s">
        <v>87</v>
      </c>
      <c r="R40" s="785">
        <v>3</v>
      </c>
      <c r="S40" s="743">
        <v>3</v>
      </c>
      <c r="U40" s="4" t="s">
        <v>749</v>
      </c>
      <c r="AJ40" s="719"/>
      <c r="AK40" s="719"/>
      <c r="AL40" s="719"/>
      <c r="AM40" s="719"/>
      <c r="AN40" s="719"/>
      <c r="AO40" s="719"/>
      <c r="AP40" s="699" t="s">
        <v>87</v>
      </c>
      <c r="AQ40" s="719"/>
    </row>
    <row r="41" spans="1:43" x14ac:dyDescent="0.2">
      <c r="A41" s="641" t="s">
        <v>769</v>
      </c>
      <c r="B41" s="169">
        <v>2</v>
      </c>
      <c r="C41" s="285" t="str">
        <f t="shared" si="6"/>
        <v>-</v>
      </c>
      <c r="D41" s="739" t="str">
        <f t="shared" si="7"/>
        <v>-</v>
      </c>
      <c r="E41" s="794" t="s">
        <v>90</v>
      </c>
      <c r="F41" s="794" t="s">
        <v>90</v>
      </c>
      <c r="G41" s="794" t="s">
        <v>90</v>
      </c>
      <c r="H41" s="137" t="s">
        <v>90</v>
      </c>
      <c r="I41" s="794" t="s">
        <v>90</v>
      </c>
      <c r="J41" s="794" t="s">
        <v>90</v>
      </c>
      <c r="K41" s="786" t="s">
        <v>709</v>
      </c>
      <c r="L41" s="788">
        <f t="shared" si="8"/>
        <v>0.3</v>
      </c>
      <c r="M41" s="788">
        <f t="shared" si="9"/>
        <v>0.25</v>
      </c>
      <c r="N41" s="788">
        <f t="shared" si="10"/>
        <v>0.25</v>
      </c>
      <c r="P41" s="699" t="s">
        <v>87</v>
      </c>
      <c r="R41" s="785">
        <v>3</v>
      </c>
      <c r="S41" s="743">
        <v>3</v>
      </c>
      <c r="U41" s="4" t="s">
        <v>749</v>
      </c>
      <c r="AJ41" s="719"/>
      <c r="AK41" s="706"/>
      <c r="AL41" s="706"/>
      <c r="AM41" s="706"/>
      <c r="AN41" s="706"/>
      <c r="AO41" s="719"/>
      <c r="AP41" s="699" t="s">
        <v>87</v>
      </c>
      <c r="AQ41" s="719"/>
    </row>
    <row r="42" spans="1:43" ht="14.25" x14ac:dyDescent="0.2">
      <c r="A42" s="641" t="s">
        <v>770</v>
      </c>
      <c r="B42" s="169">
        <v>3</v>
      </c>
      <c r="C42" s="285" t="str">
        <f t="shared" si="6"/>
        <v>-</v>
      </c>
      <c r="D42" s="739" t="str">
        <f t="shared" si="7"/>
        <v>-</v>
      </c>
      <c r="E42" s="794" t="s">
        <v>90</v>
      </c>
      <c r="F42" s="794" t="s">
        <v>90</v>
      </c>
      <c r="G42" s="794" t="s">
        <v>90</v>
      </c>
      <c r="H42" s="137" t="s">
        <v>90</v>
      </c>
      <c r="I42" s="794" t="s">
        <v>90</v>
      </c>
      <c r="J42" s="794" t="s">
        <v>90</v>
      </c>
      <c r="K42" s="786" t="s">
        <v>709</v>
      </c>
      <c r="L42" s="788">
        <f t="shared" si="8"/>
        <v>0.3</v>
      </c>
      <c r="M42" s="788">
        <f t="shared" si="9"/>
        <v>0.25</v>
      </c>
      <c r="N42" s="788">
        <f t="shared" si="10"/>
        <v>0.25</v>
      </c>
      <c r="P42" s="699" t="s">
        <v>87</v>
      </c>
      <c r="R42" s="785">
        <v>3</v>
      </c>
      <c r="S42" s="743">
        <v>3</v>
      </c>
      <c r="U42" s="4" t="s">
        <v>749</v>
      </c>
      <c r="AJ42" s="700"/>
      <c r="AK42" s="702"/>
      <c r="AL42" s="795"/>
      <c r="AM42" s="795"/>
      <c r="AN42" s="795"/>
      <c r="AO42" s="719"/>
      <c r="AP42" s="699" t="s">
        <v>87</v>
      </c>
      <c r="AQ42" s="719"/>
    </row>
    <row r="43" spans="1:43" ht="14.25" x14ac:dyDescent="0.2">
      <c r="A43" s="641" t="s">
        <v>771</v>
      </c>
      <c r="B43" s="169">
        <v>4</v>
      </c>
      <c r="C43" s="285" t="str">
        <f t="shared" si="6"/>
        <v>-</v>
      </c>
      <c r="D43" s="739" t="str">
        <f t="shared" si="7"/>
        <v>-</v>
      </c>
      <c r="E43" s="794" t="s">
        <v>90</v>
      </c>
      <c r="F43" s="794" t="s">
        <v>90</v>
      </c>
      <c r="G43" s="794" t="s">
        <v>90</v>
      </c>
      <c r="H43" s="137" t="s">
        <v>90</v>
      </c>
      <c r="I43" s="794" t="s">
        <v>90</v>
      </c>
      <c r="J43" s="794" t="s">
        <v>90</v>
      </c>
      <c r="K43" s="786" t="s">
        <v>709</v>
      </c>
      <c r="L43" s="788">
        <f t="shared" si="8"/>
        <v>0.3</v>
      </c>
      <c r="M43" s="788">
        <f t="shared" si="9"/>
        <v>0.2</v>
      </c>
      <c r="N43" s="788">
        <f t="shared" si="10"/>
        <v>0.25</v>
      </c>
      <c r="P43" s="699" t="s">
        <v>87</v>
      </c>
      <c r="R43" s="785">
        <v>3</v>
      </c>
      <c r="S43" s="743">
        <v>2</v>
      </c>
      <c r="U43" s="4" t="s">
        <v>749</v>
      </c>
      <c r="AJ43" s="700"/>
      <c r="AK43" s="761"/>
      <c r="AL43" s="702"/>
      <c r="AM43" s="795"/>
      <c r="AN43" s="795"/>
      <c r="AO43" s="719"/>
      <c r="AP43" s="699" t="s">
        <v>87</v>
      </c>
      <c r="AQ43" s="719"/>
    </row>
    <row r="44" spans="1:43" ht="14.25" x14ac:dyDescent="0.2">
      <c r="A44" s="641" t="s">
        <v>772</v>
      </c>
      <c r="B44" s="169">
        <v>5</v>
      </c>
      <c r="C44" s="285" t="str">
        <f t="shared" si="6"/>
        <v>-</v>
      </c>
      <c r="D44" s="739" t="str">
        <f t="shared" si="7"/>
        <v>-</v>
      </c>
      <c r="E44" s="794" t="s">
        <v>90</v>
      </c>
      <c r="F44" s="794" t="s">
        <v>90</v>
      </c>
      <c r="G44" s="794" t="s">
        <v>90</v>
      </c>
      <c r="H44" s="137" t="s">
        <v>90</v>
      </c>
      <c r="I44" s="794" t="s">
        <v>90</v>
      </c>
      <c r="J44" s="794" t="s">
        <v>90</v>
      </c>
      <c r="K44" s="786" t="s">
        <v>709</v>
      </c>
      <c r="L44" s="788">
        <f t="shared" si="8"/>
        <v>0.45</v>
      </c>
      <c r="M44" s="788">
        <f t="shared" si="9"/>
        <v>0.3</v>
      </c>
      <c r="N44" s="788">
        <f t="shared" si="10"/>
        <v>0.25</v>
      </c>
      <c r="P44" s="699" t="s">
        <v>87</v>
      </c>
      <c r="R44" s="785">
        <v>5</v>
      </c>
      <c r="S44" s="743">
        <v>4</v>
      </c>
      <c r="U44" s="4" t="s">
        <v>754</v>
      </c>
      <c r="AJ44" s="700"/>
      <c r="AK44" s="761"/>
      <c r="AL44" s="761"/>
      <c r="AM44" s="702"/>
      <c r="AN44" s="795"/>
      <c r="AO44" s="719"/>
      <c r="AP44" s="699" t="s">
        <v>87</v>
      </c>
      <c r="AQ44" s="719"/>
    </row>
    <row r="45" spans="1:43" x14ac:dyDescent="0.2">
      <c r="A45" s="641" t="s">
        <v>773</v>
      </c>
      <c r="B45" s="169">
        <v>6</v>
      </c>
      <c r="C45" s="285" t="str">
        <f t="shared" si="6"/>
        <v>-</v>
      </c>
      <c r="D45" s="739" t="str">
        <f t="shared" si="7"/>
        <v>-</v>
      </c>
      <c r="E45" s="794" t="s">
        <v>90</v>
      </c>
      <c r="F45" s="794" t="s">
        <v>90</v>
      </c>
      <c r="G45" s="794" t="s">
        <v>90</v>
      </c>
      <c r="H45" s="137" t="s">
        <v>90</v>
      </c>
      <c r="I45" s="794" t="s">
        <v>90</v>
      </c>
      <c r="J45" s="794" t="s">
        <v>90</v>
      </c>
      <c r="K45" s="786" t="s">
        <v>710</v>
      </c>
      <c r="L45" s="788">
        <f t="shared" si="8"/>
        <v>0.25</v>
      </c>
      <c r="M45" s="788">
        <f t="shared" si="9"/>
        <v>0.2</v>
      </c>
      <c r="N45" s="788">
        <f t="shared" si="10"/>
        <v>0.75</v>
      </c>
      <c r="P45" s="699" t="s">
        <v>87</v>
      </c>
      <c r="R45" s="785">
        <v>2</v>
      </c>
      <c r="S45" s="743">
        <v>2</v>
      </c>
      <c r="U45" s="4" t="s">
        <v>754</v>
      </c>
      <c r="AJ45" s="700"/>
      <c r="AK45" s="761"/>
      <c r="AL45" s="761"/>
      <c r="AM45" s="761"/>
      <c r="AN45" s="702"/>
      <c r="AO45" s="719"/>
      <c r="AP45" s="699" t="s">
        <v>87</v>
      </c>
      <c r="AQ45" s="719"/>
    </row>
    <row r="46" spans="1:43" x14ac:dyDescent="0.2">
      <c r="A46" s="641" t="s">
        <v>774</v>
      </c>
      <c r="B46" s="169">
        <v>7</v>
      </c>
      <c r="C46" s="285" t="str">
        <f t="shared" si="6"/>
        <v>-</v>
      </c>
      <c r="D46" s="739" t="str">
        <f t="shared" si="7"/>
        <v>-</v>
      </c>
      <c r="E46" s="794" t="s">
        <v>90</v>
      </c>
      <c r="F46" s="794" t="s">
        <v>90</v>
      </c>
      <c r="G46" s="794" t="s">
        <v>90</v>
      </c>
      <c r="H46" s="137" t="s">
        <v>90</v>
      </c>
      <c r="I46" s="794" t="s">
        <v>90</v>
      </c>
      <c r="J46" s="794" t="s">
        <v>90</v>
      </c>
      <c r="K46" s="786" t="s">
        <v>709</v>
      </c>
      <c r="L46" s="788">
        <f t="shared" si="8"/>
        <v>0.3</v>
      </c>
      <c r="M46" s="788">
        <f t="shared" si="9"/>
        <v>0.25</v>
      </c>
      <c r="N46" s="788">
        <f t="shared" si="10"/>
        <v>0.25</v>
      </c>
      <c r="P46" s="699" t="s">
        <v>87</v>
      </c>
      <c r="R46" s="785">
        <v>3</v>
      </c>
      <c r="S46" s="743">
        <v>3</v>
      </c>
      <c r="U46" s="4" t="s">
        <v>749</v>
      </c>
      <c r="AP46" s="699" t="s">
        <v>87</v>
      </c>
    </row>
    <row r="47" spans="1:43" x14ac:dyDescent="0.2">
      <c r="A47" s="641" t="s">
        <v>775</v>
      </c>
      <c r="B47" s="169">
        <v>8</v>
      </c>
      <c r="C47" s="285" t="str">
        <f t="shared" si="6"/>
        <v>-</v>
      </c>
      <c r="D47" s="739" t="str">
        <f t="shared" si="7"/>
        <v>-</v>
      </c>
      <c r="E47" s="794" t="s">
        <v>90</v>
      </c>
      <c r="F47" s="794" t="s">
        <v>90</v>
      </c>
      <c r="G47" s="794" t="s">
        <v>90</v>
      </c>
      <c r="H47" s="137" t="s">
        <v>90</v>
      </c>
      <c r="I47" s="794" t="s">
        <v>90</v>
      </c>
      <c r="J47" s="794" t="s">
        <v>90</v>
      </c>
      <c r="K47" s="786" t="s">
        <v>709</v>
      </c>
      <c r="L47" s="788">
        <f t="shared" si="8"/>
        <v>0.3</v>
      </c>
      <c r="M47" s="788">
        <f t="shared" si="9"/>
        <v>0.25</v>
      </c>
      <c r="N47" s="788">
        <f t="shared" si="10"/>
        <v>0.25</v>
      </c>
      <c r="P47" s="699" t="s">
        <v>87</v>
      </c>
      <c r="R47" s="785">
        <v>3</v>
      </c>
      <c r="S47" s="743">
        <v>3</v>
      </c>
      <c r="U47" s="4" t="s">
        <v>749</v>
      </c>
      <c r="AP47" s="699" t="s">
        <v>87</v>
      </c>
    </row>
    <row r="48" spans="1:43" x14ac:dyDescent="0.2">
      <c r="A48" s="641" t="s">
        <v>776</v>
      </c>
      <c r="B48" s="169">
        <v>9</v>
      </c>
      <c r="C48" s="285" t="str">
        <f t="shared" si="6"/>
        <v>-</v>
      </c>
      <c r="D48" s="739" t="str">
        <f t="shared" si="7"/>
        <v>-</v>
      </c>
      <c r="E48" s="794" t="s">
        <v>90</v>
      </c>
      <c r="F48" s="794" t="s">
        <v>90</v>
      </c>
      <c r="G48" s="794" t="s">
        <v>90</v>
      </c>
      <c r="H48" s="137" t="s">
        <v>90</v>
      </c>
      <c r="I48" s="794" t="s">
        <v>90</v>
      </c>
      <c r="J48" s="794" t="s">
        <v>90</v>
      </c>
      <c r="K48" s="786" t="s">
        <v>709</v>
      </c>
      <c r="L48" s="788">
        <f t="shared" si="8"/>
        <v>0.3</v>
      </c>
      <c r="M48" s="788">
        <f t="shared" si="9"/>
        <v>0.25</v>
      </c>
      <c r="N48" s="788">
        <f t="shared" si="10"/>
        <v>0.25</v>
      </c>
      <c r="P48" s="699" t="s">
        <v>87</v>
      </c>
      <c r="R48" s="785">
        <v>3</v>
      </c>
      <c r="S48" s="743">
        <v>3</v>
      </c>
      <c r="U48" s="4" t="s">
        <v>749</v>
      </c>
      <c r="AP48" s="699" t="s">
        <v>87</v>
      </c>
    </row>
    <row r="49" spans="1:42" x14ac:dyDescent="0.2">
      <c r="A49" s="641" t="s">
        <v>777</v>
      </c>
      <c r="B49" s="169">
        <v>10</v>
      </c>
      <c r="C49" s="285" t="str">
        <f t="shared" si="6"/>
        <v>-</v>
      </c>
      <c r="D49" s="739" t="str">
        <f t="shared" si="7"/>
        <v>-</v>
      </c>
      <c r="E49" s="794" t="s">
        <v>90</v>
      </c>
      <c r="F49" s="794" t="s">
        <v>90</v>
      </c>
      <c r="G49" s="794" t="s">
        <v>90</v>
      </c>
      <c r="H49" s="137" t="s">
        <v>90</v>
      </c>
      <c r="I49" s="794" t="s">
        <v>90</v>
      </c>
      <c r="J49" s="794" t="s">
        <v>90</v>
      </c>
      <c r="K49" s="786" t="s">
        <v>707</v>
      </c>
      <c r="L49" s="788">
        <f t="shared" si="8"/>
        <v>0.45</v>
      </c>
      <c r="M49" s="788">
        <f t="shared" si="9"/>
        <v>0.3</v>
      </c>
      <c r="N49" s="788">
        <f t="shared" si="10"/>
        <v>0.75</v>
      </c>
      <c r="P49" s="699" t="s">
        <v>87</v>
      </c>
      <c r="R49" s="785">
        <v>5</v>
      </c>
      <c r="S49" s="743">
        <v>4</v>
      </c>
      <c r="U49" s="4" t="s">
        <v>754</v>
      </c>
      <c r="AP49" s="699" t="s">
        <v>87</v>
      </c>
    </row>
    <row r="50" spans="1:42" x14ac:dyDescent="0.2">
      <c r="A50" s="641" t="s">
        <v>778</v>
      </c>
      <c r="B50" s="169">
        <v>11</v>
      </c>
      <c r="C50" s="285" t="str">
        <f t="shared" si="6"/>
        <v>-</v>
      </c>
      <c r="D50" s="739" t="str">
        <f t="shared" si="7"/>
        <v>-</v>
      </c>
      <c r="E50" s="794" t="s">
        <v>90</v>
      </c>
      <c r="F50" s="794" t="s">
        <v>90</v>
      </c>
      <c r="G50" s="794" t="s">
        <v>90</v>
      </c>
      <c r="H50" s="137" t="s">
        <v>90</v>
      </c>
      <c r="I50" s="794" t="s">
        <v>90</v>
      </c>
      <c r="J50" s="794" t="s">
        <v>90</v>
      </c>
      <c r="K50" s="786" t="s">
        <v>707</v>
      </c>
      <c r="L50" s="788">
        <f t="shared" si="8"/>
        <v>0.45</v>
      </c>
      <c r="M50" s="788">
        <f t="shared" si="9"/>
        <v>0.3</v>
      </c>
      <c r="N50" s="788">
        <f t="shared" si="10"/>
        <v>0.75</v>
      </c>
      <c r="P50" s="699" t="s">
        <v>87</v>
      </c>
      <c r="R50" s="785">
        <v>5</v>
      </c>
      <c r="S50" s="743">
        <v>4</v>
      </c>
      <c r="U50" s="4" t="s">
        <v>754</v>
      </c>
      <c r="AP50" s="699" t="s">
        <v>87</v>
      </c>
    </row>
    <row r="51" spans="1:42" x14ac:dyDescent="0.2">
      <c r="A51" s="641" t="s">
        <v>779</v>
      </c>
      <c r="B51" s="169">
        <v>12</v>
      </c>
      <c r="C51" s="285" t="str">
        <f t="shared" si="6"/>
        <v>-</v>
      </c>
      <c r="D51" s="739" t="str">
        <f t="shared" si="7"/>
        <v>-</v>
      </c>
      <c r="E51" s="794" t="s">
        <v>90</v>
      </c>
      <c r="F51" s="794" t="s">
        <v>90</v>
      </c>
      <c r="G51" s="794" t="s">
        <v>90</v>
      </c>
      <c r="H51" s="137" t="s">
        <v>90</v>
      </c>
      <c r="I51" s="794" t="s">
        <v>90</v>
      </c>
      <c r="J51" s="794" t="s">
        <v>90</v>
      </c>
      <c r="K51" s="786" t="s">
        <v>350</v>
      </c>
      <c r="L51" s="788">
        <f t="shared" si="8"/>
        <v>0.45</v>
      </c>
      <c r="M51" s="788">
        <f t="shared" si="9"/>
        <v>0.3</v>
      </c>
      <c r="N51" s="788">
        <f t="shared" si="10"/>
        <v>0.5</v>
      </c>
      <c r="P51" s="699" t="s">
        <v>87</v>
      </c>
      <c r="R51" s="785">
        <v>5</v>
      </c>
      <c r="S51" s="743">
        <v>4</v>
      </c>
      <c r="U51" s="4" t="s">
        <v>754</v>
      </c>
      <c r="AP51" s="699" t="s">
        <v>87</v>
      </c>
    </row>
    <row r="52" spans="1:42" x14ac:dyDescent="0.2">
      <c r="A52" s="641" t="s">
        <v>780</v>
      </c>
      <c r="B52" s="169">
        <v>13</v>
      </c>
      <c r="C52" s="285" t="str">
        <f t="shared" si="6"/>
        <v>-</v>
      </c>
      <c r="D52" s="739" t="str">
        <f t="shared" si="7"/>
        <v>-</v>
      </c>
      <c r="E52" s="794" t="s">
        <v>90</v>
      </c>
      <c r="F52" s="794" t="s">
        <v>90</v>
      </c>
      <c r="G52" s="794" t="s">
        <v>90</v>
      </c>
      <c r="H52" s="137" t="s">
        <v>90</v>
      </c>
      <c r="I52" s="794" t="s">
        <v>90</v>
      </c>
      <c r="J52" s="794" t="s">
        <v>90</v>
      </c>
      <c r="K52" s="786" t="s">
        <v>709</v>
      </c>
      <c r="L52" s="788">
        <f t="shared" si="8"/>
        <v>0.45</v>
      </c>
      <c r="M52" s="788">
        <f t="shared" si="9"/>
        <v>0.3</v>
      </c>
      <c r="N52" s="788">
        <f t="shared" si="10"/>
        <v>0.25</v>
      </c>
      <c r="P52" s="699" t="s">
        <v>87</v>
      </c>
      <c r="R52" s="785">
        <v>5</v>
      </c>
      <c r="S52" s="743">
        <v>4</v>
      </c>
      <c r="U52" s="4" t="s">
        <v>749</v>
      </c>
      <c r="AP52" s="699" t="s">
        <v>87</v>
      </c>
    </row>
    <row r="53" spans="1:42" x14ac:dyDescent="0.2">
      <c r="A53" s="641" t="s">
        <v>781</v>
      </c>
      <c r="B53" s="169">
        <v>14</v>
      </c>
      <c r="C53" s="285" t="str">
        <f t="shared" si="6"/>
        <v>-</v>
      </c>
      <c r="D53" s="739" t="str">
        <f t="shared" si="7"/>
        <v>-</v>
      </c>
      <c r="E53" s="794" t="s">
        <v>90</v>
      </c>
      <c r="F53" s="794" t="s">
        <v>90</v>
      </c>
      <c r="G53" s="794" t="s">
        <v>90</v>
      </c>
      <c r="H53" s="137" t="s">
        <v>90</v>
      </c>
      <c r="I53" s="794" t="s">
        <v>90</v>
      </c>
      <c r="J53" s="794" t="s">
        <v>90</v>
      </c>
      <c r="K53" s="786" t="s">
        <v>350</v>
      </c>
      <c r="L53" s="788">
        <f t="shared" si="8"/>
        <v>0.5</v>
      </c>
      <c r="M53" s="788">
        <f t="shared" si="9"/>
        <v>0.35</v>
      </c>
      <c r="N53" s="788">
        <f t="shared" si="10"/>
        <v>0.5</v>
      </c>
      <c r="P53" s="699" t="s">
        <v>87</v>
      </c>
      <c r="R53" s="785">
        <v>6</v>
      </c>
      <c r="S53" s="743">
        <v>5</v>
      </c>
      <c r="U53" s="4" t="s">
        <v>751</v>
      </c>
      <c r="AP53" s="699" t="s">
        <v>87</v>
      </c>
    </row>
    <row r="54" spans="1:42" x14ac:dyDescent="0.2">
      <c r="A54" s="641" t="s">
        <v>608</v>
      </c>
      <c r="B54" s="169">
        <v>15</v>
      </c>
      <c r="C54" s="285" t="str">
        <f t="shared" si="6"/>
        <v>-</v>
      </c>
      <c r="D54" s="739" t="str">
        <f t="shared" si="7"/>
        <v>-</v>
      </c>
      <c r="E54" s="794" t="s">
        <v>90</v>
      </c>
      <c r="F54" s="794" t="s">
        <v>90</v>
      </c>
      <c r="G54" s="794" t="s">
        <v>90</v>
      </c>
      <c r="H54" s="137" t="s">
        <v>90</v>
      </c>
      <c r="I54" s="794" t="s">
        <v>90</v>
      </c>
      <c r="J54" s="794" t="s">
        <v>90</v>
      </c>
      <c r="K54" s="786" t="s">
        <v>710</v>
      </c>
      <c r="L54" s="788">
        <f t="shared" si="8"/>
        <v>0.5</v>
      </c>
      <c r="M54" s="788">
        <f t="shared" si="9"/>
        <v>0.35</v>
      </c>
      <c r="N54" s="788">
        <f t="shared" si="10"/>
        <v>0.75</v>
      </c>
      <c r="P54" s="699" t="s">
        <v>87</v>
      </c>
      <c r="R54" s="785">
        <v>6</v>
      </c>
      <c r="S54" s="743">
        <v>5</v>
      </c>
      <c r="U54" s="4" t="s">
        <v>751</v>
      </c>
      <c r="AP54" s="699" t="s">
        <v>87</v>
      </c>
    </row>
    <row r="55" spans="1:42" x14ac:dyDescent="0.2">
      <c r="A55" s="641" t="s">
        <v>782</v>
      </c>
      <c r="B55" s="169">
        <v>16</v>
      </c>
      <c r="C55" s="285" t="str">
        <f t="shared" si="6"/>
        <v>-</v>
      </c>
      <c r="D55" s="739" t="str">
        <f t="shared" si="7"/>
        <v>-</v>
      </c>
      <c r="E55" s="794" t="s">
        <v>90</v>
      </c>
      <c r="F55" s="794" t="s">
        <v>90</v>
      </c>
      <c r="G55" s="794" t="s">
        <v>90</v>
      </c>
      <c r="H55" s="137" t="s">
        <v>90</v>
      </c>
      <c r="I55" s="794" t="s">
        <v>90</v>
      </c>
      <c r="J55" s="794" t="s">
        <v>90</v>
      </c>
      <c r="K55" s="786" t="s">
        <v>706</v>
      </c>
      <c r="L55" s="788">
        <f t="shared" si="8"/>
        <v>0.45</v>
      </c>
      <c r="M55" s="788">
        <f t="shared" si="9"/>
        <v>0.3</v>
      </c>
      <c r="N55" s="788">
        <f t="shared" si="10"/>
        <v>0.75</v>
      </c>
      <c r="P55" s="699" t="s">
        <v>87</v>
      </c>
      <c r="R55" s="785">
        <v>5</v>
      </c>
      <c r="S55" s="743">
        <v>4</v>
      </c>
      <c r="U55" s="4" t="s">
        <v>754</v>
      </c>
      <c r="AP55" s="699" t="s">
        <v>87</v>
      </c>
    </row>
    <row r="56" spans="1:42" x14ac:dyDescent="0.2">
      <c r="A56" s="641" t="s">
        <v>783</v>
      </c>
      <c r="B56" s="169">
        <v>17</v>
      </c>
      <c r="C56" s="285" t="str">
        <f t="shared" si="6"/>
        <v>-</v>
      </c>
      <c r="D56" s="739" t="str">
        <f t="shared" si="7"/>
        <v>-</v>
      </c>
      <c r="E56" s="794" t="s">
        <v>90</v>
      </c>
      <c r="F56" s="794" t="s">
        <v>90</v>
      </c>
      <c r="G56" s="794" t="s">
        <v>90</v>
      </c>
      <c r="H56" s="137" t="s">
        <v>90</v>
      </c>
      <c r="I56" s="794" t="s">
        <v>90</v>
      </c>
      <c r="J56" s="794" t="s">
        <v>90</v>
      </c>
      <c r="K56" s="786" t="s">
        <v>707</v>
      </c>
      <c r="L56" s="788">
        <f t="shared" si="8"/>
        <v>0.45</v>
      </c>
      <c r="M56" s="788">
        <f t="shared" si="9"/>
        <v>0.3</v>
      </c>
      <c r="N56" s="788">
        <f t="shared" si="10"/>
        <v>0.75</v>
      </c>
      <c r="P56" s="699" t="s">
        <v>87</v>
      </c>
      <c r="R56" s="785">
        <v>5</v>
      </c>
      <c r="S56" s="743">
        <v>4</v>
      </c>
      <c r="U56" s="4" t="s">
        <v>754</v>
      </c>
      <c r="AP56" s="699" t="s">
        <v>87</v>
      </c>
    </row>
    <row r="57" spans="1:42" x14ac:dyDescent="0.2">
      <c r="A57" s="641" t="s">
        <v>784</v>
      </c>
      <c r="B57" s="169">
        <v>18</v>
      </c>
      <c r="C57" s="285" t="str">
        <f t="shared" si="6"/>
        <v>-</v>
      </c>
      <c r="D57" s="739" t="str">
        <f t="shared" si="7"/>
        <v>-</v>
      </c>
      <c r="E57" s="794" t="s">
        <v>90</v>
      </c>
      <c r="F57" s="794" t="s">
        <v>90</v>
      </c>
      <c r="G57" s="794" t="s">
        <v>90</v>
      </c>
      <c r="H57" s="137" t="s">
        <v>90</v>
      </c>
      <c r="I57" s="794" t="s">
        <v>90</v>
      </c>
      <c r="J57" s="794" t="s">
        <v>90</v>
      </c>
      <c r="K57" s="786" t="s">
        <v>710</v>
      </c>
      <c r="L57" s="788">
        <f t="shared" si="8"/>
        <v>0.35</v>
      </c>
      <c r="M57" s="788">
        <f t="shared" si="9"/>
        <v>0.25</v>
      </c>
      <c r="N57" s="788">
        <f t="shared" si="10"/>
        <v>0.75</v>
      </c>
      <c r="P57" s="699" t="s">
        <v>87</v>
      </c>
      <c r="R57" s="785">
        <v>4</v>
      </c>
      <c r="S57" s="743">
        <v>3</v>
      </c>
      <c r="U57" s="4" t="s">
        <v>751</v>
      </c>
      <c r="AP57" s="699" t="s">
        <v>87</v>
      </c>
    </row>
    <row r="58" spans="1:42" x14ac:dyDescent="0.2">
      <c r="A58" s="641" t="s">
        <v>785</v>
      </c>
      <c r="B58" s="169">
        <v>19</v>
      </c>
      <c r="C58" s="285" t="str">
        <f t="shared" si="6"/>
        <v>-</v>
      </c>
      <c r="D58" s="739" t="str">
        <f t="shared" si="7"/>
        <v>-</v>
      </c>
      <c r="E58" s="794" t="s">
        <v>90</v>
      </c>
      <c r="F58" s="794" t="s">
        <v>90</v>
      </c>
      <c r="G58" s="794" t="s">
        <v>90</v>
      </c>
      <c r="H58" s="137" t="s">
        <v>90</v>
      </c>
      <c r="I58" s="794" t="s">
        <v>90</v>
      </c>
      <c r="J58" s="794" t="s">
        <v>90</v>
      </c>
      <c r="K58" s="786" t="s">
        <v>709</v>
      </c>
      <c r="L58" s="788">
        <f t="shared" si="8"/>
        <v>0.45</v>
      </c>
      <c r="M58" s="788">
        <f t="shared" si="9"/>
        <v>0.3</v>
      </c>
      <c r="N58" s="788">
        <f t="shared" si="10"/>
        <v>0.25</v>
      </c>
      <c r="P58" s="699" t="s">
        <v>87</v>
      </c>
      <c r="R58" s="785">
        <v>5</v>
      </c>
      <c r="S58" s="743">
        <v>4</v>
      </c>
      <c r="U58" s="4" t="s">
        <v>754</v>
      </c>
      <c r="AP58" s="699" t="s">
        <v>87</v>
      </c>
    </row>
    <row r="59" spans="1:42" x14ac:dyDescent="0.2">
      <c r="A59" s="641" t="s">
        <v>786</v>
      </c>
      <c r="B59" s="169">
        <v>20</v>
      </c>
      <c r="C59" s="285" t="str">
        <f t="shared" si="6"/>
        <v>-</v>
      </c>
      <c r="D59" s="739" t="str">
        <f t="shared" si="7"/>
        <v>-</v>
      </c>
      <c r="E59" s="794" t="s">
        <v>90</v>
      </c>
      <c r="F59" s="794" t="s">
        <v>90</v>
      </c>
      <c r="G59" s="794" t="s">
        <v>90</v>
      </c>
      <c r="H59" s="137" t="s">
        <v>90</v>
      </c>
      <c r="I59" s="794" t="s">
        <v>90</v>
      </c>
      <c r="J59" s="794" t="s">
        <v>90</v>
      </c>
      <c r="K59" s="786" t="s">
        <v>350</v>
      </c>
      <c r="L59" s="788">
        <f t="shared" si="8"/>
        <v>0.45</v>
      </c>
      <c r="M59" s="788">
        <f t="shared" si="9"/>
        <v>0.3</v>
      </c>
      <c r="N59" s="788">
        <f t="shared" si="10"/>
        <v>0.5</v>
      </c>
      <c r="P59" s="699" t="s">
        <v>87</v>
      </c>
      <c r="R59" s="785">
        <v>5</v>
      </c>
      <c r="S59" s="743">
        <v>4</v>
      </c>
      <c r="U59" s="4" t="s">
        <v>749</v>
      </c>
      <c r="AP59" s="699" t="s">
        <v>87</v>
      </c>
    </row>
    <row r="60" spans="1:42" x14ac:dyDescent="0.2">
      <c r="A60" s="97" t="s">
        <v>787</v>
      </c>
      <c r="B60" s="162">
        <v>21</v>
      </c>
      <c r="C60" s="153" t="str">
        <f t="shared" si="6"/>
        <v>-</v>
      </c>
      <c r="D60" s="756" t="str">
        <f t="shared" si="7"/>
        <v>-</v>
      </c>
      <c r="E60" s="796" t="s">
        <v>90</v>
      </c>
      <c r="F60" s="796" t="s">
        <v>90</v>
      </c>
      <c r="G60" s="796" t="s">
        <v>90</v>
      </c>
      <c r="H60" s="139" t="s">
        <v>90</v>
      </c>
      <c r="I60" s="796" t="s">
        <v>90</v>
      </c>
      <c r="J60" s="796" t="s">
        <v>90</v>
      </c>
      <c r="K60" s="789" t="s">
        <v>350</v>
      </c>
      <c r="L60" s="791">
        <f t="shared" si="8"/>
        <v>0.45</v>
      </c>
      <c r="M60" s="791">
        <f t="shared" si="9"/>
        <v>0.35</v>
      </c>
      <c r="N60" s="791">
        <f t="shared" si="10"/>
        <v>0.5</v>
      </c>
      <c r="P60" s="699" t="s">
        <v>87</v>
      </c>
      <c r="R60" s="792">
        <v>5</v>
      </c>
      <c r="S60" s="762">
        <v>5</v>
      </c>
      <c r="U60" s="4" t="s">
        <v>754</v>
      </c>
      <c r="AP60" s="699" t="s">
        <v>87</v>
      </c>
    </row>
    <row r="61" spans="1:42" x14ac:dyDescent="0.2">
      <c r="P61" s="699" t="s">
        <v>87</v>
      </c>
      <c r="AP61" s="699" t="s">
        <v>87</v>
      </c>
    </row>
    <row r="62" spans="1:42" ht="14.25" x14ac:dyDescent="0.2">
      <c r="A62" s="793" t="str">
        <f>$A$17</f>
        <v>Detailed information for</v>
      </c>
      <c r="B62" s="764"/>
      <c r="C62" s="765" t="s">
        <v>731</v>
      </c>
      <c r="D62" s="766" t="s">
        <v>732</v>
      </c>
      <c r="E62" s="767"/>
      <c r="F62" s="767"/>
      <c r="G62" s="768"/>
      <c r="H62" s="769" t="s">
        <v>733</v>
      </c>
      <c r="I62" s="770"/>
      <c r="J62" s="770"/>
      <c r="K62" s="771" t="s">
        <v>33</v>
      </c>
      <c r="L62" s="772" t="s">
        <v>734</v>
      </c>
      <c r="M62" s="770"/>
      <c r="N62" s="770"/>
      <c r="P62" s="699" t="s">
        <v>87</v>
      </c>
      <c r="R62" s="773" t="s">
        <v>735</v>
      </c>
      <c r="S62" s="770"/>
      <c r="AP62" s="699" t="s">
        <v>87</v>
      </c>
    </row>
    <row r="63" spans="1:42" ht="15" x14ac:dyDescent="0.25">
      <c r="A63" s="774" t="s">
        <v>788</v>
      </c>
      <c r="B63" s="775"/>
      <c r="C63" s="776" t="s">
        <v>736</v>
      </c>
      <c r="D63" s="777" t="s">
        <v>173</v>
      </c>
      <c r="E63" s="777" t="s">
        <v>737</v>
      </c>
      <c r="F63" s="777" t="s">
        <v>738</v>
      </c>
      <c r="G63" s="777" t="s">
        <v>739</v>
      </c>
      <c r="H63" s="777" t="s">
        <v>737</v>
      </c>
      <c r="I63" s="777" t="s">
        <v>738</v>
      </c>
      <c r="J63" s="777" t="s">
        <v>740</v>
      </c>
      <c r="K63" s="778" t="s">
        <v>8</v>
      </c>
      <c r="L63" s="779" t="s">
        <v>741</v>
      </c>
      <c r="M63" s="779" t="s">
        <v>742</v>
      </c>
      <c r="N63" s="780" t="s">
        <v>743</v>
      </c>
      <c r="P63" s="699" t="s">
        <v>87</v>
      </c>
      <c r="R63" s="777" t="s">
        <v>744</v>
      </c>
      <c r="S63" s="777" t="s">
        <v>745</v>
      </c>
      <c r="AP63" s="699" t="s">
        <v>87</v>
      </c>
    </row>
    <row r="64" spans="1:42" ht="14.25" x14ac:dyDescent="0.2">
      <c r="A64" s="662"/>
      <c r="B64" s="104">
        <v>63</v>
      </c>
      <c r="C64" s="167" t="s">
        <v>746</v>
      </c>
      <c r="D64" s="167" t="s">
        <v>747</v>
      </c>
      <c r="E64" s="167">
        <v>3</v>
      </c>
      <c r="F64" s="167">
        <v>4</v>
      </c>
      <c r="G64" s="167">
        <v>5</v>
      </c>
      <c r="H64" s="167">
        <v>6</v>
      </c>
      <c r="I64" s="167">
        <v>7</v>
      </c>
      <c r="J64" s="167">
        <v>8</v>
      </c>
      <c r="K64" s="167"/>
      <c r="L64" s="167"/>
      <c r="M64" s="167"/>
      <c r="N64" s="214"/>
      <c r="P64" s="699" t="s">
        <v>87</v>
      </c>
      <c r="R64" s="781"/>
      <c r="S64" s="106"/>
      <c r="AP64" s="699" t="s">
        <v>87</v>
      </c>
    </row>
    <row r="65" spans="1:42" x14ac:dyDescent="0.2">
      <c r="A65" s="641" t="s">
        <v>789</v>
      </c>
      <c r="B65" s="169">
        <v>1</v>
      </c>
      <c r="C65" s="285" t="str">
        <f t="shared" ref="C65:C85" si="11">IF(OR(D65&lt;&gt;"-",I65&lt;&gt;"-"),SQRT(PRODUCT(L65,SUM(D65))^2+PRODUCT(M65,SUM(I65))^2+2*PRODUCT(N65,L65,SUM(D65),M65,SUM(I65))),"-")</f>
        <v>-</v>
      </c>
      <c r="D65" s="739" t="str">
        <f t="shared" ref="D65:D85" si="12">IF(OR(F65&lt;&gt;"-",G65&lt;&gt;"-"),MAX(SUM(F65),SUM(G65)),"-")</f>
        <v>-</v>
      </c>
      <c r="E65" s="794" t="s">
        <v>90</v>
      </c>
      <c r="F65" s="794" t="s">
        <v>90</v>
      </c>
      <c r="G65" s="794" t="s">
        <v>90</v>
      </c>
      <c r="H65" s="137" t="s">
        <v>90</v>
      </c>
      <c r="I65" s="794" t="s">
        <v>90</v>
      </c>
      <c r="J65" s="794" t="s">
        <v>90</v>
      </c>
      <c r="K65" s="786" t="s">
        <v>709</v>
      </c>
      <c r="L65" s="788">
        <f t="shared" ref="L65:L85" si="13">IFERROR(INDEX(ICS.NL.Buckets.P,R65),"-")</f>
        <v>0.15</v>
      </c>
      <c r="M65" s="788">
        <f t="shared" ref="M65:M85" si="14">IFERROR(INDEX(ICS.NL.Buckets.R,S65),"-")</f>
        <v>0.1</v>
      </c>
      <c r="N65" s="788">
        <f t="shared" ref="N65:N85" si="15">IFERROR(INDEX(ICS.NL.Corr.P_R,MATCH(K65,ICS.NL.CategMapping,0)),1)</f>
        <v>0.25</v>
      </c>
      <c r="P65" s="699" t="s">
        <v>87</v>
      </c>
      <c r="R65" s="785">
        <v>1</v>
      </c>
      <c r="S65" s="743">
        <v>1</v>
      </c>
      <c r="U65" s="4" t="s">
        <v>749</v>
      </c>
      <c r="AP65" s="699" t="s">
        <v>87</v>
      </c>
    </row>
    <row r="66" spans="1:42" x14ac:dyDescent="0.2">
      <c r="A66" s="641" t="s">
        <v>790</v>
      </c>
      <c r="B66" s="169">
        <v>2</v>
      </c>
      <c r="C66" s="285" t="str">
        <f t="shared" si="11"/>
        <v>-</v>
      </c>
      <c r="D66" s="739" t="str">
        <f t="shared" si="12"/>
        <v>-</v>
      </c>
      <c r="E66" s="794" t="s">
        <v>90</v>
      </c>
      <c r="F66" s="794" t="s">
        <v>90</v>
      </c>
      <c r="G66" s="794" t="s">
        <v>90</v>
      </c>
      <c r="H66" s="137" t="s">
        <v>90</v>
      </c>
      <c r="I66" s="794" t="s">
        <v>90</v>
      </c>
      <c r="J66" s="794" t="s">
        <v>90</v>
      </c>
      <c r="K66" s="786" t="s">
        <v>709</v>
      </c>
      <c r="L66" s="788">
        <f t="shared" si="13"/>
        <v>0.25</v>
      </c>
      <c r="M66" s="788">
        <f t="shared" si="14"/>
        <v>0.25</v>
      </c>
      <c r="N66" s="788">
        <f t="shared" si="15"/>
        <v>0.25</v>
      </c>
      <c r="P66" s="699" t="s">
        <v>87</v>
      </c>
      <c r="R66" s="785">
        <v>2</v>
      </c>
      <c r="S66" s="743">
        <v>3</v>
      </c>
      <c r="U66" s="4" t="s">
        <v>749</v>
      </c>
      <c r="AP66" s="699" t="s">
        <v>87</v>
      </c>
    </row>
    <row r="67" spans="1:42" x14ac:dyDescent="0.2">
      <c r="A67" s="641" t="s">
        <v>791</v>
      </c>
      <c r="B67" s="169">
        <v>3</v>
      </c>
      <c r="C67" s="285" t="str">
        <f t="shared" si="11"/>
        <v>-</v>
      </c>
      <c r="D67" s="739" t="str">
        <f t="shared" si="12"/>
        <v>-</v>
      </c>
      <c r="E67" s="794" t="s">
        <v>90</v>
      </c>
      <c r="F67" s="794" t="s">
        <v>90</v>
      </c>
      <c r="G67" s="794" t="s">
        <v>90</v>
      </c>
      <c r="H67" s="137" t="s">
        <v>90</v>
      </c>
      <c r="I67" s="794" t="s">
        <v>90</v>
      </c>
      <c r="J67" s="794" t="s">
        <v>90</v>
      </c>
      <c r="K67" s="786" t="s">
        <v>709</v>
      </c>
      <c r="L67" s="788">
        <f t="shared" si="13"/>
        <v>0.35</v>
      </c>
      <c r="M67" s="788">
        <f t="shared" si="14"/>
        <v>0.25</v>
      </c>
      <c r="N67" s="788">
        <f t="shared" si="15"/>
        <v>0.25</v>
      </c>
      <c r="P67" s="699" t="s">
        <v>87</v>
      </c>
      <c r="R67" s="785">
        <v>4</v>
      </c>
      <c r="S67" s="743">
        <v>3</v>
      </c>
      <c r="U67" s="4" t="s">
        <v>749</v>
      </c>
      <c r="AP67" s="699" t="s">
        <v>87</v>
      </c>
    </row>
    <row r="68" spans="1:42" x14ac:dyDescent="0.2">
      <c r="A68" s="641" t="s">
        <v>792</v>
      </c>
      <c r="B68" s="169">
        <v>4</v>
      </c>
      <c r="C68" s="285" t="str">
        <f t="shared" si="11"/>
        <v>-</v>
      </c>
      <c r="D68" s="739" t="str">
        <f t="shared" si="12"/>
        <v>-</v>
      </c>
      <c r="E68" s="794" t="s">
        <v>90</v>
      </c>
      <c r="F68" s="794" t="s">
        <v>90</v>
      </c>
      <c r="G68" s="794" t="s">
        <v>90</v>
      </c>
      <c r="H68" s="137" t="s">
        <v>90</v>
      </c>
      <c r="I68" s="794" t="s">
        <v>90</v>
      </c>
      <c r="J68" s="794" t="s">
        <v>90</v>
      </c>
      <c r="K68" s="786" t="s">
        <v>710</v>
      </c>
      <c r="L68" s="788">
        <f t="shared" si="13"/>
        <v>0.25</v>
      </c>
      <c r="M68" s="788">
        <f t="shared" si="14"/>
        <v>0.2</v>
      </c>
      <c r="N68" s="788">
        <f t="shared" si="15"/>
        <v>0.75</v>
      </c>
      <c r="P68" s="699" t="s">
        <v>87</v>
      </c>
      <c r="R68" s="785">
        <v>2</v>
      </c>
      <c r="S68" s="743">
        <v>2</v>
      </c>
      <c r="U68" s="4" t="s">
        <v>754</v>
      </c>
      <c r="AP68" s="699" t="s">
        <v>87</v>
      </c>
    </row>
    <row r="69" spans="1:42" x14ac:dyDescent="0.2">
      <c r="A69" s="641" t="s">
        <v>793</v>
      </c>
      <c r="B69" s="169">
        <v>5</v>
      </c>
      <c r="C69" s="285" t="str">
        <f t="shared" si="11"/>
        <v>-</v>
      </c>
      <c r="D69" s="739" t="str">
        <f t="shared" si="12"/>
        <v>-</v>
      </c>
      <c r="E69" s="794" t="s">
        <v>90</v>
      </c>
      <c r="F69" s="794" t="s">
        <v>90</v>
      </c>
      <c r="G69" s="794" t="s">
        <v>90</v>
      </c>
      <c r="H69" s="137" t="s">
        <v>90</v>
      </c>
      <c r="I69" s="794" t="s">
        <v>90</v>
      </c>
      <c r="J69" s="794" t="s">
        <v>90</v>
      </c>
      <c r="K69" s="786" t="s">
        <v>710</v>
      </c>
      <c r="L69" s="788">
        <f t="shared" si="13"/>
        <v>0.3</v>
      </c>
      <c r="M69" s="788">
        <f t="shared" si="14"/>
        <v>0.2</v>
      </c>
      <c r="N69" s="788">
        <f t="shared" si="15"/>
        <v>0.75</v>
      </c>
      <c r="P69" s="699" t="s">
        <v>87</v>
      </c>
      <c r="R69" s="785">
        <v>3</v>
      </c>
      <c r="S69" s="743">
        <v>2</v>
      </c>
      <c r="U69" s="4" t="s">
        <v>754</v>
      </c>
      <c r="AP69" s="699" t="s">
        <v>87</v>
      </c>
    </row>
    <row r="70" spans="1:42" x14ac:dyDescent="0.2">
      <c r="A70" s="641" t="s">
        <v>794</v>
      </c>
      <c r="B70" s="169">
        <v>6</v>
      </c>
      <c r="C70" s="285" t="str">
        <f t="shared" si="11"/>
        <v>-</v>
      </c>
      <c r="D70" s="739" t="str">
        <f t="shared" si="12"/>
        <v>-</v>
      </c>
      <c r="E70" s="794" t="s">
        <v>90</v>
      </c>
      <c r="F70" s="794" t="s">
        <v>90</v>
      </c>
      <c r="G70" s="794" t="s">
        <v>90</v>
      </c>
      <c r="H70" s="137" t="s">
        <v>90</v>
      </c>
      <c r="I70" s="794" t="s">
        <v>90</v>
      </c>
      <c r="J70" s="794" t="s">
        <v>90</v>
      </c>
      <c r="K70" s="786" t="s">
        <v>710</v>
      </c>
      <c r="L70" s="788">
        <f t="shared" si="13"/>
        <v>0.3</v>
      </c>
      <c r="M70" s="788">
        <f t="shared" si="14"/>
        <v>0.2</v>
      </c>
      <c r="N70" s="788">
        <f t="shared" si="15"/>
        <v>0.75</v>
      </c>
      <c r="P70" s="699" t="s">
        <v>87</v>
      </c>
      <c r="R70" s="785">
        <v>3</v>
      </c>
      <c r="S70" s="743">
        <v>2</v>
      </c>
      <c r="U70" s="4" t="s">
        <v>751</v>
      </c>
      <c r="AP70" s="699" t="s">
        <v>87</v>
      </c>
    </row>
    <row r="71" spans="1:42" x14ac:dyDescent="0.2">
      <c r="A71" s="641" t="s">
        <v>795</v>
      </c>
      <c r="B71" s="169">
        <v>7</v>
      </c>
      <c r="C71" s="285" t="str">
        <f t="shared" si="11"/>
        <v>-</v>
      </c>
      <c r="D71" s="739" t="str">
        <f t="shared" si="12"/>
        <v>-</v>
      </c>
      <c r="E71" s="794" t="s">
        <v>90</v>
      </c>
      <c r="F71" s="794" t="s">
        <v>90</v>
      </c>
      <c r="G71" s="794" t="s">
        <v>90</v>
      </c>
      <c r="H71" s="137" t="s">
        <v>90</v>
      </c>
      <c r="I71" s="794" t="s">
        <v>90</v>
      </c>
      <c r="J71" s="794" t="s">
        <v>90</v>
      </c>
      <c r="K71" s="786" t="s">
        <v>710</v>
      </c>
      <c r="L71" s="788">
        <f t="shared" si="13"/>
        <v>0.15</v>
      </c>
      <c r="M71" s="788">
        <f t="shared" si="14"/>
        <v>0.35</v>
      </c>
      <c r="N71" s="788">
        <f t="shared" si="15"/>
        <v>0.75</v>
      </c>
      <c r="P71" s="699" t="s">
        <v>87</v>
      </c>
      <c r="R71" s="785">
        <v>1</v>
      </c>
      <c r="S71" s="743">
        <v>5</v>
      </c>
      <c r="U71" s="4" t="s">
        <v>751</v>
      </c>
      <c r="AP71" s="699" t="s">
        <v>87</v>
      </c>
    </row>
    <row r="72" spans="1:42" x14ac:dyDescent="0.2">
      <c r="A72" s="641" t="s">
        <v>796</v>
      </c>
      <c r="B72" s="169">
        <v>8</v>
      </c>
      <c r="C72" s="285" t="str">
        <f t="shared" si="11"/>
        <v>-</v>
      </c>
      <c r="D72" s="739" t="str">
        <f t="shared" si="12"/>
        <v>-</v>
      </c>
      <c r="E72" s="794" t="s">
        <v>90</v>
      </c>
      <c r="F72" s="794" t="s">
        <v>90</v>
      </c>
      <c r="G72" s="794" t="s">
        <v>90</v>
      </c>
      <c r="H72" s="137" t="s">
        <v>90</v>
      </c>
      <c r="I72" s="794" t="s">
        <v>90</v>
      </c>
      <c r="J72" s="794" t="s">
        <v>90</v>
      </c>
      <c r="K72" s="786" t="s">
        <v>709</v>
      </c>
      <c r="L72" s="788">
        <f t="shared" si="13"/>
        <v>0.25</v>
      </c>
      <c r="M72" s="788">
        <f t="shared" si="14"/>
        <v>0.35</v>
      </c>
      <c r="N72" s="788">
        <f t="shared" si="15"/>
        <v>0.25</v>
      </c>
      <c r="P72" s="699" t="s">
        <v>87</v>
      </c>
      <c r="R72" s="785">
        <v>2</v>
      </c>
      <c r="S72" s="743">
        <v>5</v>
      </c>
      <c r="U72" s="4" t="s">
        <v>749</v>
      </c>
      <c r="AP72" s="699" t="s">
        <v>87</v>
      </c>
    </row>
    <row r="73" spans="1:42" x14ac:dyDescent="0.2">
      <c r="A73" s="641" t="s">
        <v>797</v>
      </c>
      <c r="B73" s="169">
        <v>9</v>
      </c>
      <c r="C73" s="285" t="str">
        <f t="shared" si="11"/>
        <v>-</v>
      </c>
      <c r="D73" s="739" t="str">
        <f t="shared" si="12"/>
        <v>-</v>
      </c>
      <c r="E73" s="794" t="s">
        <v>90</v>
      </c>
      <c r="F73" s="794" t="s">
        <v>90</v>
      </c>
      <c r="G73" s="794" t="s">
        <v>90</v>
      </c>
      <c r="H73" s="137" t="s">
        <v>90</v>
      </c>
      <c r="I73" s="794" t="s">
        <v>90</v>
      </c>
      <c r="J73" s="794" t="s">
        <v>90</v>
      </c>
      <c r="K73" s="786" t="s">
        <v>710</v>
      </c>
      <c r="L73" s="788">
        <f t="shared" si="13"/>
        <v>0.35</v>
      </c>
      <c r="M73" s="788">
        <f t="shared" si="14"/>
        <v>0.3</v>
      </c>
      <c r="N73" s="788">
        <f t="shared" si="15"/>
        <v>0.75</v>
      </c>
      <c r="P73" s="699" t="s">
        <v>87</v>
      </c>
      <c r="R73" s="785">
        <v>4</v>
      </c>
      <c r="S73" s="743">
        <v>4</v>
      </c>
      <c r="U73" s="4" t="s">
        <v>751</v>
      </c>
      <c r="AP73" s="699" t="s">
        <v>87</v>
      </c>
    </row>
    <row r="74" spans="1:42" x14ac:dyDescent="0.2">
      <c r="A74" s="641" t="s">
        <v>798</v>
      </c>
      <c r="B74" s="169">
        <v>10</v>
      </c>
      <c r="C74" s="285" t="str">
        <f t="shared" si="11"/>
        <v>-</v>
      </c>
      <c r="D74" s="739" t="str">
        <f t="shared" si="12"/>
        <v>-</v>
      </c>
      <c r="E74" s="794" t="s">
        <v>90</v>
      </c>
      <c r="F74" s="794" t="s">
        <v>90</v>
      </c>
      <c r="G74" s="794" t="s">
        <v>90</v>
      </c>
      <c r="H74" s="137" t="s">
        <v>90</v>
      </c>
      <c r="I74" s="794" t="s">
        <v>90</v>
      </c>
      <c r="J74" s="794" t="s">
        <v>90</v>
      </c>
      <c r="K74" s="786" t="s">
        <v>710</v>
      </c>
      <c r="L74" s="788">
        <f t="shared" si="13"/>
        <v>0.3</v>
      </c>
      <c r="M74" s="788">
        <f t="shared" si="14"/>
        <v>0.4</v>
      </c>
      <c r="N74" s="788">
        <f t="shared" si="15"/>
        <v>0.75</v>
      </c>
      <c r="P74" s="699" t="s">
        <v>87</v>
      </c>
      <c r="R74" s="785">
        <v>3</v>
      </c>
      <c r="S74" s="743">
        <v>6</v>
      </c>
      <c r="U74" s="4" t="s">
        <v>751</v>
      </c>
      <c r="AP74" s="699" t="s">
        <v>87</v>
      </c>
    </row>
    <row r="75" spans="1:42" x14ac:dyDescent="0.2">
      <c r="A75" s="641" t="s">
        <v>799</v>
      </c>
      <c r="B75" s="169">
        <v>11</v>
      </c>
      <c r="C75" s="285" t="str">
        <f t="shared" si="11"/>
        <v>-</v>
      </c>
      <c r="D75" s="739" t="str">
        <f t="shared" si="12"/>
        <v>-</v>
      </c>
      <c r="E75" s="794" t="s">
        <v>90</v>
      </c>
      <c r="F75" s="794" t="s">
        <v>90</v>
      </c>
      <c r="G75" s="794" t="s">
        <v>90</v>
      </c>
      <c r="H75" s="137" t="s">
        <v>90</v>
      </c>
      <c r="I75" s="794" t="s">
        <v>90</v>
      </c>
      <c r="J75" s="794" t="s">
        <v>90</v>
      </c>
      <c r="K75" s="786" t="s">
        <v>710</v>
      </c>
      <c r="L75" s="788">
        <f t="shared" si="13"/>
        <v>0.3</v>
      </c>
      <c r="M75" s="788">
        <f t="shared" si="14"/>
        <v>0.4</v>
      </c>
      <c r="N75" s="788">
        <f t="shared" si="15"/>
        <v>0.75</v>
      </c>
      <c r="P75" s="699" t="s">
        <v>87</v>
      </c>
      <c r="R75" s="785">
        <v>3</v>
      </c>
      <c r="S75" s="743">
        <v>6</v>
      </c>
      <c r="U75" s="4" t="s">
        <v>751</v>
      </c>
      <c r="AP75" s="699" t="s">
        <v>87</v>
      </c>
    </row>
    <row r="76" spans="1:42" x14ac:dyDescent="0.2">
      <c r="A76" s="641" t="s">
        <v>800</v>
      </c>
      <c r="B76" s="169">
        <v>12</v>
      </c>
      <c r="C76" s="285" t="str">
        <f t="shared" si="11"/>
        <v>-</v>
      </c>
      <c r="D76" s="739" t="str">
        <f t="shared" si="12"/>
        <v>-</v>
      </c>
      <c r="E76" s="794" t="s">
        <v>90</v>
      </c>
      <c r="F76" s="794" t="s">
        <v>90</v>
      </c>
      <c r="G76" s="794" t="s">
        <v>90</v>
      </c>
      <c r="H76" s="137" t="s">
        <v>90</v>
      </c>
      <c r="I76" s="794" t="s">
        <v>90</v>
      </c>
      <c r="J76" s="794" t="s">
        <v>90</v>
      </c>
      <c r="K76" s="786" t="s">
        <v>710</v>
      </c>
      <c r="L76" s="788">
        <f t="shared" si="13"/>
        <v>0.35</v>
      </c>
      <c r="M76" s="788">
        <f t="shared" si="14"/>
        <v>0.5</v>
      </c>
      <c r="N76" s="788">
        <f t="shared" si="15"/>
        <v>0.75</v>
      </c>
      <c r="P76" s="699" t="s">
        <v>87</v>
      </c>
      <c r="R76" s="785">
        <v>4</v>
      </c>
      <c r="S76" s="743">
        <v>8</v>
      </c>
      <c r="U76" s="4" t="s">
        <v>751</v>
      </c>
      <c r="AP76" s="699" t="s">
        <v>87</v>
      </c>
    </row>
    <row r="77" spans="1:42" x14ac:dyDescent="0.2">
      <c r="A77" s="641" t="s">
        <v>801</v>
      </c>
      <c r="B77" s="169">
        <v>13</v>
      </c>
      <c r="C77" s="285" t="str">
        <f t="shared" si="11"/>
        <v>-</v>
      </c>
      <c r="D77" s="739" t="str">
        <f t="shared" si="12"/>
        <v>-</v>
      </c>
      <c r="E77" s="794" t="s">
        <v>90</v>
      </c>
      <c r="F77" s="794" t="s">
        <v>90</v>
      </c>
      <c r="G77" s="794" t="s">
        <v>90</v>
      </c>
      <c r="H77" s="137" t="s">
        <v>90</v>
      </c>
      <c r="I77" s="794" t="s">
        <v>90</v>
      </c>
      <c r="J77" s="794" t="s">
        <v>90</v>
      </c>
      <c r="K77" s="786" t="s">
        <v>709</v>
      </c>
      <c r="L77" s="788">
        <f t="shared" si="13"/>
        <v>0.35</v>
      </c>
      <c r="M77" s="788">
        <f t="shared" si="14"/>
        <v>0.3</v>
      </c>
      <c r="N77" s="788">
        <f t="shared" si="15"/>
        <v>0.25</v>
      </c>
      <c r="P77" s="699" t="s">
        <v>87</v>
      </c>
      <c r="R77" s="785">
        <v>4</v>
      </c>
      <c r="S77" s="743">
        <v>4</v>
      </c>
      <c r="U77" s="4" t="s">
        <v>754</v>
      </c>
      <c r="AP77" s="699" t="s">
        <v>87</v>
      </c>
    </row>
    <row r="78" spans="1:42" x14ac:dyDescent="0.2">
      <c r="A78" s="641" t="s">
        <v>802</v>
      </c>
      <c r="B78" s="169">
        <v>14</v>
      </c>
      <c r="C78" s="285" t="str">
        <f t="shared" si="11"/>
        <v>-</v>
      </c>
      <c r="D78" s="739" t="str">
        <f t="shared" si="12"/>
        <v>-</v>
      </c>
      <c r="E78" s="794" t="s">
        <v>90</v>
      </c>
      <c r="F78" s="794" t="s">
        <v>90</v>
      </c>
      <c r="G78" s="794" t="s">
        <v>90</v>
      </c>
      <c r="H78" s="137" t="s">
        <v>90</v>
      </c>
      <c r="I78" s="794" t="s">
        <v>90</v>
      </c>
      <c r="J78" s="794" t="s">
        <v>90</v>
      </c>
      <c r="K78" s="786" t="s">
        <v>710</v>
      </c>
      <c r="L78" s="788">
        <f t="shared" si="13"/>
        <v>0.45</v>
      </c>
      <c r="M78" s="788">
        <f t="shared" si="14"/>
        <v>0.5</v>
      </c>
      <c r="N78" s="788">
        <f t="shared" si="15"/>
        <v>0.75</v>
      </c>
      <c r="P78" s="699" t="s">
        <v>87</v>
      </c>
      <c r="R78" s="785">
        <v>5</v>
      </c>
      <c r="S78" s="743">
        <v>8</v>
      </c>
      <c r="U78" s="4" t="s">
        <v>751</v>
      </c>
      <c r="AP78" s="699" t="s">
        <v>87</v>
      </c>
    </row>
    <row r="79" spans="1:42" x14ac:dyDescent="0.2">
      <c r="A79" s="641" t="s">
        <v>803</v>
      </c>
      <c r="B79" s="169">
        <v>15</v>
      </c>
      <c r="C79" s="285" t="str">
        <f t="shared" si="11"/>
        <v>-</v>
      </c>
      <c r="D79" s="739" t="str">
        <f t="shared" si="12"/>
        <v>-</v>
      </c>
      <c r="E79" s="794" t="s">
        <v>90</v>
      </c>
      <c r="F79" s="794" t="s">
        <v>90</v>
      </c>
      <c r="G79" s="794" t="s">
        <v>90</v>
      </c>
      <c r="H79" s="137" t="s">
        <v>90</v>
      </c>
      <c r="I79" s="794" t="s">
        <v>90</v>
      </c>
      <c r="J79" s="794" t="s">
        <v>90</v>
      </c>
      <c r="K79" s="786" t="s">
        <v>710</v>
      </c>
      <c r="L79" s="788">
        <f t="shared" si="13"/>
        <v>0.25</v>
      </c>
      <c r="M79" s="788">
        <f t="shared" si="14"/>
        <v>0.25</v>
      </c>
      <c r="N79" s="788">
        <f t="shared" si="15"/>
        <v>0.75</v>
      </c>
      <c r="P79" s="699" t="s">
        <v>87</v>
      </c>
      <c r="R79" s="785">
        <v>2</v>
      </c>
      <c r="S79" s="743">
        <v>3</v>
      </c>
      <c r="U79" s="4" t="s">
        <v>751</v>
      </c>
      <c r="AP79" s="699" t="s">
        <v>87</v>
      </c>
    </row>
    <row r="80" spans="1:42" x14ac:dyDescent="0.2">
      <c r="A80" s="641" t="s">
        <v>204</v>
      </c>
      <c r="B80" s="169">
        <v>16</v>
      </c>
      <c r="C80" s="285" t="str">
        <f t="shared" si="11"/>
        <v>-</v>
      </c>
      <c r="D80" s="739" t="str">
        <f t="shared" si="12"/>
        <v>-</v>
      </c>
      <c r="E80" s="794" t="s">
        <v>90</v>
      </c>
      <c r="F80" s="794" t="s">
        <v>90</v>
      </c>
      <c r="G80" s="794" t="s">
        <v>90</v>
      </c>
      <c r="H80" s="137" t="s">
        <v>90</v>
      </c>
      <c r="I80" s="794" t="s">
        <v>90</v>
      </c>
      <c r="J80" s="794" t="s">
        <v>90</v>
      </c>
      <c r="K80" s="786" t="s">
        <v>706</v>
      </c>
      <c r="L80" s="788">
        <f t="shared" si="13"/>
        <v>0.5</v>
      </c>
      <c r="M80" s="788">
        <f t="shared" si="14"/>
        <v>0.3</v>
      </c>
      <c r="N80" s="788">
        <f t="shared" si="15"/>
        <v>0.75</v>
      </c>
      <c r="P80" s="699" t="s">
        <v>87</v>
      </c>
      <c r="R80" s="785">
        <v>6</v>
      </c>
      <c r="S80" s="743">
        <v>4</v>
      </c>
      <c r="U80" s="4" t="s">
        <v>754</v>
      </c>
      <c r="AP80" s="699" t="s">
        <v>87</v>
      </c>
    </row>
    <row r="81" spans="1:43" x14ac:dyDescent="0.2">
      <c r="A81" s="641" t="s">
        <v>804</v>
      </c>
      <c r="B81" s="169">
        <v>17</v>
      </c>
      <c r="C81" s="285" t="str">
        <f t="shared" si="11"/>
        <v>-</v>
      </c>
      <c r="D81" s="739" t="str">
        <f t="shared" si="12"/>
        <v>-</v>
      </c>
      <c r="E81" s="794" t="s">
        <v>90</v>
      </c>
      <c r="F81" s="794" t="s">
        <v>90</v>
      </c>
      <c r="G81" s="794" t="s">
        <v>90</v>
      </c>
      <c r="H81" s="137" t="s">
        <v>90</v>
      </c>
      <c r="I81" s="794" t="s">
        <v>90</v>
      </c>
      <c r="J81" s="794" t="s">
        <v>90</v>
      </c>
      <c r="K81" s="786" t="s">
        <v>707</v>
      </c>
      <c r="L81" s="788">
        <f t="shared" si="13"/>
        <v>0.35</v>
      </c>
      <c r="M81" s="788">
        <f t="shared" si="14"/>
        <v>0.45</v>
      </c>
      <c r="N81" s="788">
        <f t="shared" si="15"/>
        <v>0.75</v>
      </c>
      <c r="P81" s="699" t="s">
        <v>87</v>
      </c>
      <c r="R81" s="785">
        <v>4</v>
      </c>
      <c r="S81" s="743">
        <v>7</v>
      </c>
      <c r="U81" s="4" t="s">
        <v>754</v>
      </c>
      <c r="AP81" s="699" t="s">
        <v>87</v>
      </c>
    </row>
    <row r="82" spans="1:43" x14ac:dyDescent="0.2">
      <c r="A82" s="641" t="s">
        <v>805</v>
      </c>
      <c r="B82" s="169">
        <v>18</v>
      </c>
      <c r="C82" s="285" t="str">
        <f t="shared" si="11"/>
        <v>-</v>
      </c>
      <c r="D82" s="739" t="str">
        <f t="shared" si="12"/>
        <v>-</v>
      </c>
      <c r="E82" s="794" t="s">
        <v>90</v>
      </c>
      <c r="F82" s="794" t="s">
        <v>90</v>
      </c>
      <c r="G82" s="794" t="s">
        <v>90</v>
      </c>
      <c r="H82" s="137" t="s">
        <v>90</v>
      </c>
      <c r="I82" s="794" t="s">
        <v>90</v>
      </c>
      <c r="J82" s="794" t="s">
        <v>90</v>
      </c>
      <c r="K82" s="786" t="s">
        <v>707</v>
      </c>
      <c r="L82" s="788">
        <f t="shared" si="13"/>
        <v>0.5</v>
      </c>
      <c r="M82" s="788">
        <f t="shared" si="14"/>
        <v>0.3</v>
      </c>
      <c r="N82" s="788">
        <f t="shared" si="15"/>
        <v>0.75</v>
      </c>
      <c r="P82" s="699" t="s">
        <v>87</v>
      </c>
      <c r="R82" s="785">
        <v>6</v>
      </c>
      <c r="S82" s="743">
        <v>4</v>
      </c>
      <c r="U82" s="4" t="s">
        <v>754</v>
      </c>
      <c r="AP82" s="699" t="s">
        <v>87</v>
      </c>
    </row>
    <row r="83" spans="1:43" x14ac:dyDescent="0.2">
      <c r="A83" s="641" t="s">
        <v>350</v>
      </c>
      <c r="B83" s="169">
        <v>19</v>
      </c>
      <c r="C83" s="285" t="str">
        <f t="shared" si="11"/>
        <v>-</v>
      </c>
      <c r="D83" s="739" t="str">
        <f t="shared" si="12"/>
        <v>-</v>
      </c>
      <c r="E83" s="794" t="s">
        <v>90</v>
      </c>
      <c r="F83" s="794" t="s">
        <v>90</v>
      </c>
      <c r="G83" s="794" t="s">
        <v>90</v>
      </c>
      <c r="H83" s="137" t="s">
        <v>90</v>
      </c>
      <c r="I83" s="794" t="s">
        <v>90</v>
      </c>
      <c r="J83" s="794" t="s">
        <v>90</v>
      </c>
      <c r="K83" s="786" t="s">
        <v>350</v>
      </c>
      <c r="L83" s="788">
        <f t="shared" si="13"/>
        <v>0.15</v>
      </c>
      <c r="M83" s="788">
        <f t="shared" si="14"/>
        <v>0.3</v>
      </c>
      <c r="N83" s="788">
        <f t="shared" si="15"/>
        <v>0.5</v>
      </c>
      <c r="P83" s="699" t="s">
        <v>87</v>
      </c>
      <c r="R83" s="785">
        <v>1</v>
      </c>
      <c r="S83" s="743">
        <v>4</v>
      </c>
      <c r="U83" s="4" t="s">
        <v>754</v>
      </c>
      <c r="AP83" s="699" t="s">
        <v>87</v>
      </c>
    </row>
    <row r="84" spans="1:43" x14ac:dyDescent="0.2">
      <c r="A84" s="641" t="s">
        <v>290</v>
      </c>
      <c r="B84" s="169">
        <v>20</v>
      </c>
      <c r="C84" s="285" t="str">
        <f t="shared" si="11"/>
        <v>-</v>
      </c>
      <c r="D84" s="739" t="str">
        <f t="shared" si="12"/>
        <v>-</v>
      </c>
      <c r="E84" s="794" t="s">
        <v>90</v>
      </c>
      <c r="F84" s="794" t="s">
        <v>90</v>
      </c>
      <c r="G84" s="794" t="s">
        <v>90</v>
      </c>
      <c r="H84" s="137" t="s">
        <v>90</v>
      </c>
      <c r="I84" s="794" t="s">
        <v>90</v>
      </c>
      <c r="J84" s="794" t="s">
        <v>90</v>
      </c>
      <c r="K84" s="786" t="s">
        <v>711</v>
      </c>
      <c r="L84" s="788">
        <f t="shared" si="13"/>
        <v>0.15</v>
      </c>
      <c r="M84" s="788">
        <f t="shared" si="14"/>
        <v>0.45</v>
      </c>
      <c r="N84" s="788">
        <f t="shared" si="15"/>
        <v>0.5</v>
      </c>
      <c r="P84" s="699" t="s">
        <v>87</v>
      </c>
      <c r="R84" s="785">
        <v>1</v>
      </c>
      <c r="S84" s="743">
        <v>7</v>
      </c>
      <c r="U84" s="4" t="s">
        <v>754</v>
      </c>
      <c r="AP84" s="699" t="s">
        <v>87</v>
      </c>
    </row>
    <row r="85" spans="1:43" x14ac:dyDescent="0.2">
      <c r="A85" s="97" t="s">
        <v>806</v>
      </c>
      <c r="B85" s="162">
        <v>21</v>
      </c>
      <c r="C85" s="153" t="str">
        <f t="shared" si="11"/>
        <v>-</v>
      </c>
      <c r="D85" s="756" t="str">
        <f t="shared" si="12"/>
        <v>-</v>
      </c>
      <c r="E85" s="796" t="s">
        <v>90</v>
      </c>
      <c r="F85" s="796" t="s">
        <v>90</v>
      </c>
      <c r="G85" s="796" t="s">
        <v>90</v>
      </c>
      <c r="H85" s="139" t="s">
        <v>90</v>
      </c>
      <c r="I85" s="796" t="s">
        <v>90</v>
      </c>
      <c r="J85" s="796" t="s">
        <v>90</v>
      </c>
      <c r="K85" s="789" t="s">
        <v>711</v>
      </c>
      <c r="L85" s="791">
        <f t="shared" si="13"/>
        <v>0.5</v>
      </c>
      <c r="M85" s="791">
        <f t="shared" si="14"/>
        <v>0.3</v>
      </c>
      <c r="N85" s="791">
        <f t="shared" si="15"/>
        <v>0.5</v>
      </c>
      <c r="P85" s="699" t="s">
        <v>87</v>
      </c>
      <c r="R85" s="792">
        <v>6</v>
      </c>
      <c r="S85" s="762">
        <v>4</v>
      </c>
      <c r="U85" s="4" t="s">
        <v>754</v>
      </c>
      <c r="AP85" s="699" t="s">
        <v>87</v>
      </c>
    </row>
    <row r="86" spans="1:43" x14ac:dyDescent="0.2">
      <c r="P86" s="699" t="s">
        <v>87</v>
      </c>
      <c r="AJ86" s="700"/>
      <c r="AK86" s="761"/>
      <c r="AL86" s="761"/>
      <c r="AM86" s="761"/>
      <c r="AN86" s="761"/>
      <c r="AO86" s="761"/>
      <c r="AP86" s="699" t="s">
        <v>87</v>
      </c>
      <c r="AQ86" s="719"/>
    </row>
    <row r="87" spans="1:43" ht="14.25" x14ac:dyDescent="0.2">
      <c r="A87" s="793" t="str">
        <f>$A$17</f>
        <v>Detailed information for</v>
      </c>
      <c r="B87" s="764"/>
      <c r="C87" s="765" t="s">
        <v>731</v>
      </c>
      <c r="D87" s="766" t="s">
        <v>732</v>
      </c>
      <c r="E87" s="767"/>
      <c r="F87" s="767"/>
      <c r="G87" s="768"/>
      <c r="H87" s="769" t="s">
        <v>733</v>
      </c>
      <c r="I87" s="770"/>
      <c r="J87" s="770"/>
      <c r="K87" s="771" t="s">
        <v>33</v>
      </c>
      <c r="L87" s="772" t="s">
        <v>734</v>
      </c>
      <c r="M87" s="770"/>
      <c r="N87" s="770"/>
      <c r="P87" s="699" t="s">
        <v>87</v>
      </c>
      <c r="R87" s="773" t="s">
        <v>735</v>
      </c>
      <c r="S87" s="770"/>
      <c r="AJ87" s="719"/>
      <c r="AK87" s="719"/>
      <c r="AL87" s="719"/>
      <c r="AM87" s="719"/>
      <c r="AN87" s="719"/>
      <c r="AO87" s="719"/>
      <c r="AP87" s="699" t="s">
        <v>87</v>
      </c>
      <c r="AQ87" s="719"/>
    </row>
    <row r="88" spans="1:43" ht="15" x14ac:dyDescent="0.25">
      <c r="A88" s="774" t="s">
        <v>723</v>
      </c>
      <c r="B88" s="775"/>
      <c r="C88" s="776" t="s">
        <v>736</v>
      </c>
      <c r="D88" s="777" t="s">
        <v>173</v>
      </c>
      <c r="E88" s="777" t="s">
        <v>737</v>
      </c>
      <c r="F88" s="777" t="s">
        <v>738</v>
      </c>
      <c r="G88" s="777" t="s">
        <v>739</v>
      </c>
      <c r="H88" s="777" t="s">
        <v>737</v>
      </c>
      <c r="I88" s="777" t="s">
        <v>738</v>
      </c>
      <c r="J88" s="777" t="s">
        <v>740</v>
      </c>
      <c r="K88" s="778" t="s">
        <v>8</v>
      </c>
      <c r="L88" s="779" t="s">
        <v>741</v>
      </c>
      <c r="M88" s="779" t="s">
        <v>742</v>
      </c>
      <c r="N88" s="780" t="s">
        <v>743</v>
      </c>
      <c r="P88" s="699" t="s">
        <v>87</v>
      </c>
      <c r="R88" s="777" t="s">
        <v>744</v>
      </c>
      <c r="S88" s="777" t="s">
        <v>745</v>
      </c>
      <c r="AJ88" s="719"/>
      <c r="AK88" s="719"/>
      <c r="AL88" s="719"/>
      <c r="AM88" s="719"/>
      <c r="AN88" s="719"/>
      <c r="AO88" s="719"/>
      <c r="AP88" s="699" t="s">
        <v>87</v>
      </c>
      <c r="AQ88" s="719"/>
    </row>
    <row r="89" spans="1:43" ht="14.25" x14ac:dyDescent="0.2">
      <c r="A89" s="662"/>
      <c r="B89" s="104">
        <v>64</v>
      </c>
      <c r="C89" s="167" t="s">
        <v>746</v>
      </c>
      <c r="D89" s="167" t="s">
        <v>747</v>
      </c>
      <c r="E89" s="167">
        <v>3</v>
      </c>
      <c r="F89" s="167">
        <v>4</v>
      </c>
      <c r="G89" s="167">
        <v>5</v>
      </c>
      <c r="H89" s="167">
        <v>6</v>
      </c>
      <c r="I89" s="167">
        <v>7</v>
      </c>
      <c r="J89" s="167">
        <v>8</v>
      </c>
      <c r="K89" s="167"/>
      <c r="L89" s="167"/>
      <c r="M89" s="167"/>
      <c r="N89" s="214"/>
      <c r="P89" s="699" t="s">
        <v>87</v>
      </c>
      <c r="R89" s="781"/>
      <c r="S89" s="106"/>
      <c r="AJ89" s="719"/>
      <c r="AK89" s="719"/>
      <c r="AL89" s="719"/>
      <c r="AM89" s="719"/>
      <c r="AN89" s="719"/>
      <c r="AO89" s="719"/>
      <c r="AP89" s="699" t="s">
        <v>87</v>
      </c>
      <c r="AQ89" s="719"/>
    </row>
    <row r="90" spans="1:43" x14ac:dyDescent="0.2">
      <c r="A90" s="641" t="s">
        <v>807</v>
      </c>
      <c r="B90" s="169">
        <v>1</v>
      </c>
      <c r="C90" s="282" t="str">
        <f t="shared" ref="C90:C105" si="16">IF(OR(D90&lt;&gt;"-",I90&lt;&gt;"-"),SQRT(PRODUCT(L90,SUM(D90))^2+PRODUCT(M90,SUM(I90))^2+2*PRODUCT(N90,L90,SUM(D90),M90,SUM(I90))),"-")</f>
        <v>-</v>
      </c>
      <c r="D90" s="782" t="str">
        <f t="shared" ref="D90:D105" si="17">IF(OR(F90&lt;&gt;"-",G90&lt;&gt;"-"),MAX(SUM(F90),SUM(G90)),"-")</f>
        <v>-</v>
      </c>
      <c r="E90" s="797" t="s">
        <v>90</v>
      </c>
      <c r="F90" s="797" t="s">
        <v>90</v>
      </c>
      <c r="G90" s="797" t="s">
        <v>90</v>
      </c>
      <c r="H90" s="149" t="s">
        <v>90</v>
      </c>
      <c r="I90" s="149" t="s">
        <v>90</v>
      </c>
      <c r="J90" s="149" t="s">
        <v>90</v>
      </c>
      <c r="K90" s="783" t="s">
        <v>709</v>
      </c>
      <c r="L90" s="798">
        <f t="shared" ref="L90:L105" si="18">IFERROR(INDEX(ICS.NL.Buckets.P,R90),"-")</f>
        <v>0.25</v>
      </c>
      <c r="M90" s="798">
        <f t="shared" ref="M90:M105" si="19">IFERROR(INDEX(ICS.NL.Buckets.R,S90),"-")</f>
        <v>0.2</v>
      </c>
      <c r="N90" s="798">
        <f t="shared" ref="N90:N105" si="20">IFERROR(INDEX(ICS.NL.Corr.P_R,MATCH(K90,ICS.NL.CategMapping,0)),1)</f>
        <v>0.25</v>
      </c>
      <c r="P90" s="699" t="s">
        <v>87</v>
      </c>
      <c r="R90" s="785">
        <v>2</v>
      </c>
      <c r="S90" s="743">
        <v>2</v>
      </c>
      <c r="U90" s="4" t="s">
        <v>749</v>
      </c>
      <c r="AJ90" s="719"/>
      <c r="AK90" s="719"/>
      <c r="AL90" s="719"/>
      <c r="AM90" s="719"/>
      <c r="AN90" s="719"/>
      <c r="AO90" s="719"/>
      <c r="AP90" s="699" t="s">
        <v>87</v>
      </c>
      <c r="AQ90" s="719"/>
    </row>
    <row r="91" spans="1:43" x14ac:dyDescent="0.2">
      <c r="A91" s="641" t="s">
        <v>808</v>
      </c>
      <c r="B91" s="169">
        <v>2</v>
      </c>
      <c r="C91" s="285" t="str">
        <f t="shared" si="16"/>
        <v>-</v>
      </c>
      <c r="D91" s="739" t="str">
        <f t="shared" si="17"/>
        <v>-</v>
      </c>
      <c r="E91" s="794" t="s">
        <v>90</v>
      </c>
      <c r="F91" s="794" t="s">
        <v>90</v>
      </c>
      <c r="G91" s="794" t="s">
        <v>90</v>
      </c>
      <c r="H91" s="137" t="s">
        <v>90</v>
      </c>
      <c r="I91" s="137" t="s">
        <v>90</v>
      </c>
      <c r="J91" s="137" t="s">
        <v>90</v>
      </c>
      <c r="K91" s="786" t="s">
        <v>709</v>
      </c>
      <c r="L91" s="788">
        <f t="shared" si="18"/>
        <v>0.5</v>
      </c>
      <c r="M91" s="788">
        <f t="shared" si="19"/>
        <v>0.5</v>
      </c>
      <c r="N91" s="788">
        <f t="shared" si="20"/>
        <v>0.25</v>
      </c>
      <c r="P91" s="699" t="s">
        <v>87</v>
      </c>
      <c r="R91" s="785">
        <v>6</v>
      </c>
      <c r="S91" s="743">
        <v>8</v>
      </c>
      <c r="U91" s="4" t="s">
        <v>754</v>
      </c>
      <c r="AJ91" s="719"/>
      <c r="AK91" s="719"/>
      <c r="AL91" s="719"/>
      <c r="AM91" s="719"/>
      <c r="AN91" s="719"/>
      <c r="AO91" s="719"/>
      <c r="AP91" s="699" t="s">
        <v>87</v>
      </c>
      <c r="AQ91" s="719"/>
    </row>
    <row r="92" spans="1:43" ht="14.25" x14ac:dyDescent="0.2">
      <c r="A92" s="641" t="s">
        <v>809</v>
      </c>
      <c r="B92" s="169">
        <v>3</v>
      </c>
      <c r="C92" s="285" t="str">
        <f t="shared" si="16"/>
        <v>-</v>
      </c>
      <c r="D92" s="739" t="str">
        <f t="shared" si="17"/>
        <v>-</v>
      </c>
      <c r="E92" s="794" t="s">
        <v>90</v>
      </c>
      <c r="F92" s="794" t="s">
        <v>90</v>
      </c>
      <c r="G92" s="794" t="s">
        <v>90</v>
      </c>
      <c r="H92" s="137" t="s">
        <v>90</v>
      </c>
      <c r="I92" s="137" t="s">
        <v>90</v>
      </c>
      <c r="J92" s="137" t="s">
        <v>90</v>
      </c>
      <c r="K92" s="786" t="s">
        <v>709</v>
      </c>
      <c r="L92" s="788">
        <f t="shared" si="18"/>
        <v>0.5</v>
      </c>
      <c r="M92" s="788">
        <f t="shared" si="19"/>
        <v>0.5</v>
      </c>
      <c r="N92" s="788">
        <f t="shared" si="20"/>
        <v>0.25</v>
      </c>
      <c r="P92" s="699" t="s">
        <v>87</v>
      </c>
      <c r="R92" s="785">
        <v>6</v>
      </c>
      <c r="S92" s="743">
        <v>8</v>
      </c>
      <c r="U92" s="4" t="s">
        <v>754</v>
      </c>
      <c r="AJ92" s="700"/>
      <c r="AK92" s="702"/>
      <c r="AL92" s="795"/>
      <c r="AM92" s="795"/>
      <c r="AN92" s="795"/>
      <c r="AO92" s="719"/>
      <c r="AP92" s="699" t="s">
        <v>87</v>
      </c>
      <c r="AQ92" s="719"/>
    </row>
    <row r="93" spans="1:43" ht="14.25" x14ac:dyDescent="0.2">
      <c r="A93" s="641" t="s">
        <v>810</v>
      </c>
      <c r="B93" s="169">
        <v>4</v>
      </c>
      <c r="C93" s="285" t="str">
        <f t="shared" si="16"/>
        <v>-</v>
      </c>
      <c r="D93" s="739" t="str">
        <f t="shared" si="17"/>
        <v>-</v>
      </c>
      <c r="E93" s="794" t="s">
        <v>90</v>
      </c>
      <c r="F93" s="794" t="s">
        <v>90</v>
      </c>
      <c r="G93" s="794" t="s">
        <v>90</v>
      </c>
      <c r="H93" s="137" t="s">
        <v>90</v>
      </c>
      <c r="I93" s="137" t="s">
        <v>90</v>
      </c>
      <c r="J93" s="137" t="s">
        <v>90</v>
      </c>
      <c r="K93" s="786" t="s">
        <v>709</v>
      </c>
      <c r="L93" s="788">
        <f t="shared" si="18"/>
        <v>0.5</v>
      </c>
      <c r="M93" s="788">
        <f t="shared" si="19"/>
        <v>0.5</v>
      </c>
      <c r="N93" s="788">
        <f t="shared" si="20"/>
        <v>0.25</v>
      </c>
      <c r="P93" s="699" t="s">
        <v>87</v>
      </c>
      <c r="R93" s="785">
        <v>6</v>
      </c>
      <c r="S93" s="743">
        <v>8</v>
      </c>
      <c r="U93" s="4" t="s">
        <v>749</v>
      </c>
      <c r="AJ93" s="700"/>
      <c r="AK93" s="761"/>
      <c r="AL93" s="702"/>
      <c r="AM93" s="795"/>
      <c r="AN93" s="795"/>
      <c r="AO93" s="719"/>
      <c r="AP93" s="699" t="s">
        <v>87</v>
      </c>
      <c r="AQ93" s="719"/>
    </row>
    <row r="94" spans="1:43" ht="14.25" x14ac:dyDescent="0.2">
      <c r="A94" s="641" t="s">
        <v>811</v>
      </c>
      <c r="B94" s="169">
        <v>5</v>
      </c>
      <c r="C94" s="285" t="str">
        <f t="shared" si="16"/>
        <v>-</v>
      </c>
      <c r="D94" s="739" t="str">
        <f t="shared" si="17"/>
        <v>-</v>
      </c>
      <c r="E94" s="794" t="s">
        <v>90</v>
      </c>
      <c r="F94" s="794" t="s">
        <v>90</v>
      </c>
      <c r="G94" s="794" t="s">
        <v>90</v>
      </c>
      <c r="H94" s="137" t="s">
        <v>90</v>
      </c>
      <c r="I94" s="137" t="s">
        <v>90</v>
      </c>
      <c r="J94" s="137" t="s">
        <v>90</v>
      </c>
      <c r="K94" s="786" t="s">
        <v>350</v>
      </c>
      <c r="L94" s="788">
        <f t="shared" si="18"/>
        <v>0.25</v>
      </c>
      <c r="M94" s="788">
        <f t="shared" si="19"/>
        <v>0.3</v>
      </c>
      <c r="N94" s="788">
        <f t="shared" si="20"/>
        <v>0.5</v>
      </c>
      <c r="P94" s="699" t="s">
        <v>87</v>
      </c>
      <c r="R94" s="785">
        <v>2</v>
      </c>
      <c r="S94" s="743">
        <v>4</v>
      </c>
      <c r="U94" s="4" t="s">
        <v>749</v>
      </c>
      <c r="AJ94" s="700"/>
      <c r="AK94" s="761"/>
      <c r="AL94" s="761"/>
      <c r="AM94" s="702"/>
      <c r="AN94" s="795"/>
      <c r="AO94" s="719"/>
      <c r="AP94" s="699" t="s">
        <v>87</v>
      </c>
      <c r="AQ94" s="719"/>
    </row>
    <row r="95" spans="1:43" x14ac:dyDescent="0.2">
      <c r="A95" s="641" t="s">
        <v>812</v>
      </c>
      <c r="B95" s="169">
        <v>6</v>
      </c>
      <c r="C95" s="285" t="str">
        <f t="shared" si="16"/>
        <v>-</v>
      </c>
      <c r="D95" s="739" t="str">
        <f t="shared" si="17"/>
        <v>-</v>
      </c>
      <c r="E95" s="794" t="s">
        <v>90</v>
      </c>
      <c r="F95" s="794" t="s">
        <v>90</v>
      </c>
      <c r="G95" s="794" t="s">
        <v>90</v>
      </c>
      <c r="H95" s="137" t="s">
        <v>90</v>
      </c>
      <c r="I95" s="137" t="s">
        <v>90</v>
      </c>
      <c r="J95" s="137" t="s">
        <v>90</v>
      </c>
      <c r="K95" s="786" t="s">
        <v>709</v>
      </c>
      <c r="L95" s="788">
        <f t="shared" si="18"/>
        <v>0.15</v>
      </c>
      <c r="M95" s="788">
        <f t="shared" si="19"/>
        <v>0.1</v>
      </c>
      <c r="N95" s="788">
        <f t="shared" si="20"/>
        <v>0.25</v>
      </c>
      <c r="P95" s="699" t="s">
        <v>87</v>
      </c>
      <c r="R95" s="785">
        <v>1</v>
      </c>
      <c r="S95" s="743">
        <v>1</v>
      </c>
      <c r="U95" s="4" t="s">
        <v>754</v>
      </c>
      <c r="AJ95" s="700"/>
      <c r="AK95" s="761"/>
      <c r="AL95" s="761"/>
      <c r="AM95" s="761"/>
      <c r="AN95" s="702"/>
      <c r="AO95" s="719"/>
      <c r="AP95" s="699" t="s">
        <v>87</v>
      </c>
      <c r="AQ95" s="719"/>
    </row>
    <row r="96" spans="1:43" x14ac:dyDescent="0.2">
      <c r="A96" s="641" t="s">
        <v>813</v>
      </c>
      <c r="B96" s="169">
        <v>7</v>
      </c>
      <c r="C96" s="285" t="str">
        <f t="shared" si="16"/>
        <v>-</v>
      </c>
      <c r="D96" s="739" t="str">
        <f t="shared" si="17"/>
        <v>-</v>
      </c>
      <c r="E96" s="794" t="s">
        <v>90</v>
      </c>
      <c r="F96" s="794" t="s">
        <v>90</v>
      </c>
      <c r="G96" s="794" t="s">
        <v>90</v>
      </c>
      <c r="H96" s="137" t="s">
        <v>90</v>
      </c>
      <c r="I96" s="137" t="s">
        <v>90</v>
      </c>
      <c r="J96" s="137" t="s">
        <v>90</v>
      </c>
      <c r="K96" s="786" t="s">
        <v>709</v>
      </c>
      <c r="L96" s="788">
        <f t="shared" si="18"/>
        <v>0.5</v>
      </c>
      <c r="M96" s="788">
        <f t="shared" si="19"/>
        <v>0.5</v>
      </c>
      <c r="N96" s="788">
        <f t="shared" si="20"/>
        <v>0.25</v>
      </c>
      <c r="P96" s="699" t="s">
        <v>87</v>
      </c>
      <c r="R96" s="785">
        <v>6</v>
      </c>
      <c r="S96" s="743">
        <v>8</v>
      </c>
      <c r="U96" s="4" t="s">
        <v>754</v>
      </c>
      <c r="AP96" s="699" t="s">
        <v>87</v>
      </c>
    </row>
    <row r="97" spans="1:43" x14ac:dyDescent="0.2">
      <c r="A97" s="641" t="s">
        <v>814</v>
      </c>
      <c r="B97" s="169">
        <v>8</v>
      </c>
      <c r="C97" s="285" t="str">
        <f t="shared" si="16"/>
        <v>-</v>
      </c>
      <c r="D97" s="739" t="str">
        <f t="shared" si="17"/>
        <v>-</v>
      </c>
      <c r="E97" s="794" t="s">
        <v>90</v>
      </c>
      <c r="F97" s="794" t="s">
        <v>90</v>
      </c>
      <c r="G97" s="794" t="s">
        <v>90</v>
      </c>
      <c r="H97" s="137" t="s">
        <v>90</v>
      </c>
      <c r="I97" s="137" t="s">
        <v>90</v>
      </c>
      <c r="J97" s="137" t="s">
        <v>90</v>
      </c>
      <c r="K97" s="786" t="s">
        <v>707</v>
      </c>
      <c r="L97" s="788">
        <f t="shared" si="18"/>
        <v>0.35</v>
      </c>
      <c r="M97" s="788">
        <f t="shared" si="19"/>
        <v>0.45</v>
      </c>
      <c r="N97" s="788">
        <f t="shared" si="20"/>
        <v>0.75</v>
      </c>
      <c r="P97" s="699" t="s">
        <v>87</v>
      </c>
      <c r="R97" s="785">
        <v>4</v>
      </c>
      <c r="S97" s="743">
        <v>7</v>
      </c>
      <c r="U97" s="4" t="s">
        <v>754</v>
      </c>
      <c r="AP97" s="699" t="s">
        <v>87</v>
      </c>
    </row>
    <row r="98" spans="1:43" x14ac:dyDescent="0.2">
      <c r="A98" s="641" t="s">
        <v>815</v>
      </c>
      <c r="B98" s="169">
        <v>9</v>
      </c>
      <c r="C98" s="285" t="str">
        <f t="shared" si="16"/>
        <v>-</v>
      </c>
      <c r="D98" s="739" t="str">
        <f t="shared" si="17"/>
        <v>-</v>
      </c>
      <c r="E98" s="794" t="s">
        <v>90</v>
      </c>
      <c r="F98" s="794" t="s">
        <v>90</v>
      </c>
      <c r="G98" s="794" t="s">
        <v>90</v>
      </c>
      <c r="H98" s="137" t="s">
        <v>90</v>
      </c>
      <c r="I98" s="137" t="s">
        <v>90</v>
      </c>
      <c r="J98" s="137" t="s">
        <v>90</v>
      </c>
      <c r="K98" s="786" t="s">
        <v>709</v>
      </c>
      <c r="L98" s="788">
        <f t="shared" si="18"/>
        <v>0.35</v>
      </c>
      <c r="M98" s="788">
        <f t="shared" si="19"/>
        <v>0.45</v>
      </c>
      <c r="N98" s="788">
        <f t="shared" si="20"/>
        <v>0.25</v>
      </c>
      <c r="P98" s="699" t="s">
        <v>87</v>
      </c>
      <c r="R98" s="785">
        <v>4</v>
      </c>
      <c r="S98" s="743">
        <v>7</v>
      </c>
      <c r="U98" s="4" t="s">
        <v>749</v>
      </c>
      <c r="AP98" s="699" t="s">
        <v>87</v>
      </c>
    </row>
    <row r="99" spans="1:43" x14ac:dyDescent="0.2">
      <c r="A99" s="641" t="s">
        <v>816</v>
      </c>
      <c r="B99" s="169">
        <v>10</v>
      </c>
      <c r="C99" s="285" t="str">
        <f t="shared" si="16"/>
        <v>-</v>
      </c>
      <c r="D99" s="739" t="str">
        <f t="shared" si="17"/>
        <v>-</v>
      </c>
      <c r="E99" s="794" t="s">
        <v>90</v>
      </c>
      <c r="F99" s="794" t="s">
        <v>90</v>
      </c>
      <c r="G99" s="794" t="s">
        <v>90</v>
      </c>
      <c r="H99" s="137" t="s">
        <v>90</v>
      </c>
      <c r="I99" s="137" t="s">
        <v>90</v>
      </c>
      <c r="J99" s="137" t="s">
        <v>90</v>
      </c>
      <c r="K99" s="786" t="s">
        <v>710</v>
      </c>
      <c r="L99" s="788">
        <f t="shared" si="18"/>
        <v>0.45</v>
      </c>
      <c r="M99" s="788">
        <f t="shared" si="19"/>
        <v>0.25</v>
      </c>
      <c r="N99" s="788">
        <f t="shared" si="20"/>
        <v>0.75</v>
      </c>
      <c r="P99" s="699" t="s">
        <v>87</v>
      </c>
      <c r="R99" s="785">
        <v>5</v>
      </c>
      <c r="S99" s="743">
        <v>3</v>
      </c>
      <c r="U99" s="4" t="s">
        <v>751</v>
      </c>
      <c r="AP99" s="699" t="s">
        <v>87</v>
      </c>
    </row>
    <row r="100" spans="1:43" x14ac:dyDescent="0.2">
      <c r="A100" s="641" t="s">
        <v>817</v>
      </c>
      <c r="B100" s="169">
        <v>11</v>
      </c>
      <c r="C100" s="285" t="str">
        <f t="shared" si="16"/>
        <v>-</v>
      </c>
      <c r="D100" s="739" t="str">
        <f t="shared" si="17"/>
        <v>-</v>
      </c>
      <c r="E100" s="794" t="s">
        <v>90</v>
      </c>
      <c r="F100" s="794" t="s">
        <v>90</v>
      </c>
      <c r="G100" s="794" t="s">
        <v>90</v>
      </c>
      <c r="H100" s="137" t="s">
        <v>90</v>
      </c>
      <c r="I100" s="137" t="s">
        <v>90</v>
      </c>
      <c r="J100" s="137" t="s">
        <v>90</v>
      </c>
      <c r="K100" s="786" t="s">
        <v>709</v>
      </c>
      <c r="L100" s="788">
        <f t="shared" si="18"/>
        <v>0.35</v>
      </c>
      <c r="M100" s="788">
        <f t="shared" si="19"/>
        <v>0.45</v>
      </c>
      <c r="N100" s="788">
        <f t="shared" si="20"/>
        <v>0.25</v>
      </c>
      <c r="P100" s="699" t="s">
        <v>87</v>
      </c>
      <c r="R100" s="785">
        <v>4</v>
      </c>
      <c r="S100" s="743">
        <v>7</v>
      </c>
      <c r="U100" s="4" t="s">
        <v>749</v>
      </c>
      <c r="AP100" s="699" t="s">
        <v>87</v>
      </c>
    </row>
    <row r="101" spans="1:43" x14ac:dyDescent="0.2">
      <c r="A101" s="641" t="s">
        <v>818</v>
      </c>
      <c r="B101" s="169">
        <v>12</v>
      </c>
      <c r="C101" s="285" t="str">
        <f t="shared" si="16"/>
        <v>-</v>
      </c>
      <c r="D101" s="739" t="str">
        <f t="shared" si="17"/>
        <v>-</v>
      </c>
      <c r="E101" s="794" t="s">
        <v>90</v>
      </c>
      <c r="F101" s="794" t="s">
        <v>90</v>
      </c>
      <c r="G101" s="794" t="s">
        <v>90</v>
      </c>
      <c r="H101" s="137" t="s">
        <v>90</v>
      </c>
      <c r="I101" s="137" t="s">
        <v>90</v>
      </c>
      <c r="J101" s="137" t="s">
        <v>90</v>
      </c>
      <c r="K101" s="786" t="s">
        <v>709</v>
      </c>
      <c r="L101" s="788">
        <f t="shared" si="18"/>
        <v>0.25</v>
      </c>
      <c r="M101" s="788">
        <f t="shared" si="19"/>
        <v>0.2</v>
      </c>
      <c r="N101" s="788">
        <f t="shared" si="20"/>
        <v>0.25</v>
      </c>
      <c r="P101" s="699" t="s">
        <v>87</v>
      </c>
      <c r="R101" s="785">
        <v>2</v>
      </c>
      <c r="S101" s="743">
        <v>2</v>
      </c>
      <c r="U101" s="4" t="s">
        <v>754</v>
      </c>
      <c r="AP101" s="699" t="s">
        <v>87</v>
      </c>
    </row>
    <row r="102" spans="1:43" x14ac:dyDescent="0.2">
      <c r="A102" s="641" t="s">
        <v>819</v>
      </c>
      <c r="B102" s="169">
        <v>13</v>
      </c>
      <c r="C102" s="285" t="str">
        <f t="shared" si="16"/>
        <v>-</v>
      </c>
      <c r="D102" s="739" t="str">
        <f t="shared" si="17"/>
        <v>-</v>
      </c>
      <c r="E102" s="794" t="s">
        <v>90</v>
      </c>
      <c r="F102" s="794" t="s">
        <v>90</v>
      </c>
      <c r="G102" s="794" t="s">
        <v>90</v>
      </c>
      <c r="H102" s="137" t="s">
        <v>90</v>
      </c>
      <c r="I102" s="137" t="s">
        <v>90</v>
      </c>
      <c r="J102" s="137" t="s">
        <v>90</v>
      </c>
      <c r="K102" s="786" t="s">
        <v>710</v>
      </c>
      <c r="L102" s="788">
        <f t="shared" si="18"/>
        <v>0.45</v>
      </c>
      <c r="M102" s="788">
        <f t="shared" si="19"/>
        <v>0.25</v>
      </c>
      <c r="N102" s="788">
        <f t="shared" si="20"/>
        <v>0.75</v>
      </c>
      <c r="P102" s="699" t="s">
        <v>87</v>
      </c>
      <c r="R102" s="785">
        <v>5</v>
      </c>
      <c r="S102" s="743">
        <v>3</v>
      </c>
      <c r="U102" s="4" t="s">
        <v>751</v>
      </c>
      <c r="AP102" s="699" t="s">
        <v>87</v>
      </c>
    </row>
    <row r="103" spans="1:43" x14ac:dyDescent="0.2">
      <c r="A103" s="641" t="s">
        <v>820</v>
      </c>
      <c r="B103" s="169">
        <v>14</v>
      </c>
      <c r="C103" s="285" t="str">
        <f t="shared" si="16"/>
        <v>-</v>
      </c>
      <c r="D103" s="739" t="str">
        <f t="shared" si="17"/>
        <v>-</v>
      </c>
      <c r="E103" s="794" t="s">
        <v>90</v>
      </c>
      <c r="F103" s="794" t="s">
        <v>90</v>
      </c>
      <c r="G103" s="794" t="s">
        <v>90</v>
      </c>
      <c r="H103" s="137" t="s">
        <v>90</v>
      </c>
      <c r="I103" s="137" t="s">
        <v>90</v>
      </c>
      <c r="J103" s="137" t="s">
        <v>90</v>
      </c>
      <c r="K103" s="786" t="s">
        <v>350</v>
      </c>
      <c r="L103" s="788">
        <f t="shared" si="18"/>
        <v>0.35</v>
      </c>
      <c r="M103" s="788">
        <f t="shared" si="19"/>
        <v>0.45</v>
      </c>
      <c r="N103" s="788">
        <f t="shared" si="20"/>
        <v>0.5</v>
      </c>
      <c r="P103" s="699" t="s">
        <v>87</v>
      </c>
      <c r="R103" s="785">
        <v>4</v>
      </c>
      <c r="S103" s="743">
        <v>7</v>
      </c>
      <c r="U103" s="4" t="s">
        <v>754</v>
      </c>
      <c r="AP103" s="699" t="s">
        <v>87</v>
      </c>
    </row>
    <row r="104" spans="1:43" x14ac:dyDescent="0.2">
      <c r="A104" s="641" t="s">
        <v>821</v>
      </c>
      <c r="B104" s="169">
        <v>15</v>
      </c>
      <c r="C104" s="285" t="str">
        <f t="shared" si="16"/>
        <v>-</v>
      </c>
      <c r="D104" s="739" t="str">
        <f t="shared" si="17"/>
        <v>-</v>
      </c>
      <c r="E104" s="794" t="s">
        <v>90</v>
      </c>
      <c r="F104" s="794" t="s">
        <v>90</v>
      </c>
      <c r="G104" s="794" t="s">
        <v>90</v>
      </c>
      <c r="H104" s="137" t="s">
        <v>90</v>
      </c>
      <c r="I104" s="137" t="s">
        <v>90</v>
      </c>
      <c r="J104" s="137" t="s">
        <v>90</v>
      </c>
      <c r="K104" s="786" t="s">
        <v>350</v>
      </c>
      <c r="L104" s="788">
        <f t="shared" si="18"/>
        <v>0.35</v>
      </c>
      <c r="M104" s="788">
        <f t="shared" si="19"/>
        <v>0.45</v>
      </c>
      <c r="N104" s="788">
        <f t="shared" si="20"/>
        <v>0.5</v>
      </c>
      <c r="P104" s="699" t="s">
        <v>87</v>
      </c>
      <c r="R104" s="785">
        <v>4</v>
      </c>
      <c r="S104" s="743">
        <v>7</v>
      </c>
      <c r="U104" s="4" t="s">
        <v>749</v>
      </c>
      <c r="AP104" s="699" t="s">
        <v>87</v>
      </c>
    </row>
    <row r="105" spans="1:43" x14ac:dyDescent="0.2">
      <c r="A105" s="97" t="s">
        <v>822</v>
      </c>
      <c r="B105" s="162">
        <v>16</v>
      </c>
      <c r="C105" s="153" t="str">
        <f t="shared" si="16"/>
        <v>-</v>
      </c>
      <c r="D105" s="756" t="str">
        <f t="shared" si="17"/>
        <v>-</v>
      </c>
      <c r="E105" s="796" t="s">
        <v>90</v>
      </c>
      <c r="F105" s="796" t="s">
        <v>90</v>
      </c>
      <c r="G105" s="796" t="s">
        <v>90</v>
      </c>
      <c r="H105" s="139" t="s">
        <v>90</v>
      </c>
      <c r="I105" s="139" t="s">
        <v>90</v>
      </c>
      <c r="J105" s="139" t="s">
        <v>90</v>
      </c>
      <c r="K105" s="789" t="s">
        <v>350</v>
      </c>
      <c r="L105" s="791">
        <f t="shared" si="18"/>
        <v>0.35</v>
      </c>
      <c r="M105" s="791">
        <f t="shared" si="19"/>
        <v>0.45</v>
      </c>
      <c r="N105" s="791">
        <f t="shared" si="20"/>
        <v>0.5</v>
      </c>
      <c r="P105" s="699" t="s">
        <v>87</v>
      </c>
      <c r="R105" s="792">
        <v>4</v>
      </c>
      <c r="S105" s="762">
        <v>7</v>
      </c>
      <c r="U105" s="4" t="s">
        <v>754</v>
      </c>
      <c r="AP105" s="699" t="s">
        <v>87</v>
      </c>
    </row>
    <row r="106" spans="1:43" x14ac:dyDescent="0.2">
      <c r="P106" s="699" t="s">
        <v>87</v>
      </c>
      <c r="AJ106" s="700"/>
      <c r="AK106" s="761"/>
      <c r="AL106" s="761"/>
      <c r="AM106" s="761"/>
      <c r="AN106" s="761"/>
      <c r="AO106" s="761"/>
      <c r="AP106" s="699" t="s">
        <v>87</v>
      </c>
      <c r="AQ106" s="719"/>
    </row>
    <row r="107" spans="1:43" ht="14.25" x14ac:dyDescent="0.2">
      <c r="A107" s="793" t="str">
        <f>$A$17</f>
        <v>Detailed information for</v>
      </c>
      <c r="B107" s="764"/>
      <c r="C107" s="765" t="s">
        <v>731</v>
      </c>
      <c r="D107" s="766" t="s">
        <v>732</v>
      </c>
      <c r="E107" s="767"/>
      <c r="F107" s="767"/>
      <c r="G107" s="768"/>
      <c r="H107" s="769" t="s">
        <v>733</v>
      </c>
      <c r="I107" s="770"/>
      <c r="J107" s="770"/>
      <c r="K107" s="771" t="s">
        <v>33</v>
      </c>
      <c r="L107" s="772" t="s">
        <v>734</v>
      </c>
      <c r="M107" s="770"/>
      <c r="N107" s="770"/>
      <c r="P107" s="699" t="s">
        <v>87</v>
      </c>
      <c r="R107" s="773" t="s">
        <v>735</v>
      </c>
      <c r="S107" s="770"/>
      <c r="AJ107" s="719"/>
      <c r="AK107" s="719"/>
      <c r="AL107" s="719"/>
      <c r="AM107" s="719"/>
      <c r="AN107" s="719"/>
      <c r="AO107" s="719"/>
      <c r="AP107" s="699" t="s">
        <v>87</v>
      </c>
      <c r="AQ107" s="719"/>
    </row>
    <row r="108" spans="1:43" ht="15" x14ac:dyDescent="0.25">
      <c r="A108" s="774" t="s">
        <v>724</v>
      </c>
      <c r="B108" s="775"/>
      <c r="C108" s="776" t="s">
        <v>736</v>
      </c>
      <c r="D108" s="777" t="s">
        <v>173</v>
      </c>
      <c r="E108" s="777" t="s">
        <v>737</v>
      </c>
      <c r="F108" s="777" t="s">
        <v>738</v>
      </c>
      <c r="G108" s="777" t="s">
        <v>739</v>
      </c>
      <c r="H108" s="777" t="s">
        <v>737</v>
      </c>
      <c r="I108" s="777" t="s">
        <v>738</v>
      </c>
      <c r="J108" s="777" t="s">
        <v>740</v>
      </c>
      <c r="K108" s="778" t="s">
        <v>8</v>
      </c>
      <c r="L108" s="779" t="s">
        <v>741</v>
      </c>
      <c r="M108" s="779" t="s">
        <v>742</v>
      </c>
      <c r="N108" s="780" t="s">
        <v>743</v>
      </c>
      <c r="P108" s="699" t="s">
        <v>87</v>
      </c>
      <c r="R108" s="777" t="s">
        <v>744</v>
      </c>
      <c r="S108" s="777" t="s">
        <v>745</v>
      </c>
      <c r="AJ108" s="719"/>
      <c r="AK108" s="719"/>
      <c r="AL108" s="719"/>
      <c r="AM108" s="719"/>
      <c r="AN108" s="719"/>
      <c r="AO108" s="719"/>
      <c r="AP108" s="699" t="s">
        <v>87</v>
      </c>
      <c r="AQ108" s="719"/>
    </row>
    <row r="109" spans="1:43" ht="14.25" x14ac:dyDescent="0.2">
      <c r="A109" s="662"/>
      <c r="B109" s="104">
        <v>65</v>
      </c>
      <c r="C109" s="167" t="s">
        <v>746</v>
      </c>
      <c r="D109" s="167" t="s">
        <v>747</v>
      </c>
      <c r="E109" s="167">
        <v>3</v>
      </c>
      <c r="F109" s="167">
        <v>4</v>
      </c>
      <c r="G109" s="167">
        <v>5</v>
      </c>
      <c r="H109" s="167">
        <v>6</v>
      </c>
      <c r="I109" s="167">
        <v>7</v>
      </c>
      <c r="J109" s="167">
        <v>8</v>
      </c>
      <c r="K109" s="167"/>
      <c r="L109" s="167"/>
      <c r="M109" s="167"/>
      <c r="N109" s="214"/>
      <c r="P109" s="699" t="s">
        <v>87</v>
      </c>
      <c r="R109" s="781"/>
      <c r="S109" s="106"/>
      <c r="AJ109" s="719"/>
      <c r="AK109" s="719"/>
      <c r="AL109" s="719"/>
      <c r="AM109" s="719"/>
      <c r="AN109" s="719"/>
      <c r="AO109" s="719"/>
      <c r="AP109" s="699" t="s">
        <v>87</v>
      </c>
      <c r="AQ109" s="719"/>
    </row>
    <row r="110" spans="1:43" x14ac:dyDescent="0.2">
      <c r="A110" s="641" t="s">
        <v>195</v>
      </c>
      <c r="B110" s="169">
        <v>1</v>
      </c>
      <c r="C110" s="282" t="str">
        <f t="shared" ref="C110:C119" si="21">IF(OR(D110&lt;&gt;"-",I110&lt;&gt;"-"),SQRT(PRODUCT(L110,SUM(D110))^2+PRODUCT(M110,SUM(I110))^2+2*PRODUCT(N110,L110,SUM(D110),M110,SUM(I110))),"-")</f>
        <v>-</v>
      </c>
      <c r="D110" s="782" t="str">
        <f t="shared" ref="D110:D119" si="22">IF(OR(F110&lt;&gt;"-",G110&lt;&gt;"-"),MAX(SUM(F110),SUM(G110)),"-")</f>
        <v>-</v>
      </c>
      <c r="E110" s="797" t="s">
        <v>90</v>
      </c>
      <c r="F110" s="797" t="s">
        <v>90</v>
      </c>
      <c r="G110" s="797" t="s">
        <v>90</v>
      </c>
      <c r="H110" s="149" t="s">
        <v>90</v>
      </c>
      <c r="I110" s="149" t="s">
        <v>90</v>
      </c>
      <c r="J110" s="149" t="s">
        <v>90</v>
      </c>
      <c r="K110" s="783" t="s">
        <v>709</v>
      </c>
      <c r="L110" s="798">
        <f t="shared" ref="L110:L119" si="23">IFERROR(INDEX(ICS.NL.Buckets.P,R110),"-")</f>
        <v>0.25</v>
      </c>
      <c r="M110" s="798">
        <f t="shared" ref="M110:M119" si="24">IFERROR(INDEX(ICS.NL.Buckets.R,S110),"-")</f>
        <v>0.1</v>
      </c>
      <c r="N110" s="798">
        <f t="shared" ref="N110:N119" si="25">IFERROR(INDEX(ICS.NL.Corr.P_R,MATCH(K110,ICS.NL.CategMapping,0)),1)</f>
        <v>0.25</v>
      </c>
      <c r="P110" s="699" t="s">
        <v>87</v>
      </c>
      <c r="R110" s="785">
        <v>2</v>
      </c>
      <c r="S110" s="743">
        <v>1</v>
      </c>
      <c r="U110" s="4" t="s">
        <v>754</v>
      </c>
      <c r="AJ110" s="719"/>
      <c r="AK110" s="719"/>
      <c r="AL110" s="719"/>
      <c r="AM110" s="719"/>
      <c r="AN110" s="719"/>
      <c r="AO110" s="719"/>
      <c r="AP110" s="699" t="s">
        <v>87</v>
      </c>
      <c r="AQ110" s="719"/>
    </row>
    <row r="111" spans="1:43" x14ac:dyDescent="0.2">
      <c r="A111" s="641" t="s">
        <v>823</v>
      </c>
      <c r="B111" s="169">
        <v>2</v>
      </c>
      <c r="C111" s="285" t="str">
        <f t="shared" si="21"/>
        <v>-</v>
      </c>
      <c r="D111" s="739" t="str">
        <f t="shared" si="22"/>
        <v>-</v>
      </c>
      <c r="E111" s="794" t="s">
        <v>90</v>
      </c>
      <c r="F111" s="794" t="s">
        <v>90</v>
      </c>
      <c r="G111" s="794" t="s">
        <v>90</v>
      </c>
      <c r="H111" s="137" t="s">
        <v>90</v>
      </c>
      <c r="I111" s="137" t="s">
        <v>90</v>
      </c>
      <c r="J111" s="137" t="s">
        <v>90</v>
      </c>
      <c r="K111" s="786" t="s">
        <v>709</v>
      </c>
      <c r="L111" s="788">
        <f t="shared" si="23"/>
        <v>0.5</v>
      </c>
      <c r="M111" s="788">
        <f t="shared" si="24"/>
        <v>0.5</v>
      </c>
      <c r="N111" s="788">
        <f t="shared" si="25"/>
        <v>0.25</v>
      </c>
      <c r="P111" s="699" t="s">
        <v>87</v>
      </c>
      <c r="R111" s="785">
        <v>6</v>
      </c>
      <c r="S111" s="743">
        <v>8</v>
      </c>
      <c r="U111" s="4" t="s">
        <v>749</v>
      </c>
      <c r="AJ111" s="719"/>
      <c r="AK111" s="719"/>
      <c r="AL111" s="719"/>
      <c r="AM111" s="719"/>
      <c r="AN111" s="719"/>
      <c r="AO111" s="719"/>
      <c r="AP111" s="699" t="s">
        <v>87</v>
      </c>
      <c r="AQ111" s="719"/>
    </row>
    <row r="112" spans="1:43" x14ac:dyDescent="0.2">
      <c r="A112" s="641" t="s">
        <v>824</v>
      </c>
      <c r="B112" s="169">
        <v>3</v>
      </c>
      <c r="C112" s="285" t="str">
        <f t="shared" si="21"/>
        <v>-</v>
      </c>
      <c r="D112" s="739" t="str">
        <f t="shared" si="22"/>
        <v>-</v>
      </c>
      <c r="E112" s="794" t="s">
        <v>90</v>
      </c>
      <c r="F112" s="794" t="s">
        <v>90</v>
      </c>
      <c r="G112" s="794" t="s">
        <v>90</v>
      </c>
      <c r="H112" s="137" t="s">
        <v>90</v>
      </c>
      <c r="I112" s="137" t="s">
        <v>90</v>
      </c>
      <c r="J112" s="137" t="s">
        <v>90</v>
      </c>
      <c r="K112" s="786" t="s">
        <v>709</v>
      </c>
      <c r="L112" s="788">
        <f t="shared" si="23"/>
        <v>0.5</v>
      </c>
      <c r="M112" s="788">
        <f t="shared" si="24"/>
        <v>0.45</v>
      </c>
      <c r="N112" s="788">
        <f t="shared" si="25"/>
        <v>0.25</v>
      </c>
      <c r="P112" s="699" t="s">
        <v>87</v>
      </c>
      <c r="R112" s="785">
        <v>6</v>
      </c>
      <c r="S112" s="743">
        <v>7</v>
      </c>
      <c r="U112" s="4" t="s">
        <v>754</v>
      </c>
      <c r="AJ112" s="719"/>
      <c r="AK112" s="719"/>
      <c r="AL112" s="719"/>
      <c r="AM112" s="719"/>
      <c r="AN112" s="719"/>
      <c r="AO112" s="719"/>
      <c r="AP112" s="699" t="s">
        <v>87</v>
      </c>
      <c r="AQ112" s="719"/>
    </row>
    <row r="113" spans="1:43" x14ac:dyDescent="0.2">
      <c r="A113" s="641" t="s">
        <v>608</v>
      </c>
      <c r="B113" s="169">
        <v>4</v>
      </c>
      <c r="C113" s="285" t="str">
        <f t="shared" si="21"/>
        <v>-</v>
      </c>
      <c r="D113" s="739" t="str">
        <f t="shared" si="22"/>
        <v>-</v>
      </c>
      <c r="E113" s="794" t="s">
        <v>90</v>
      </c>
      <c r="F113" s="794" t="s">
        <v>90</v>
      </c>
      <c r="G113" s="794" t="s">
        <v>90</v>
      </c>
      <c r="H113" s="137" t="s">
        <v>90</v>
      </c>
      <c r="I113" s="137" t="s">
        <v>90</v>
      </c>
      <c r="J113" s="137" t="s">
        <v>90</v>
      </c>
      <c r="K113" s="786" t="s">
        <v>710</v>
      </c>
      <c r="L113" s="788">
        <f t="shared" si="23"/>
        <v>0.25</v>
      </c>
      <c r="M113" s="788">
        <f t="shared" si="24"/>
        <v>0.35</v>
      </c>
      <c r="N113" s="788">
        <f t="shared" si="25"/>
        <v>0.75</v>
      </c>
      <c r="P113" s="699" t="s">
        <v>87</v>
      </c>
      <c r="R113" s="785">
        <v>2</v>
      </c>
      <c r="S113" s="743">
        <v>5</v>
      </c>
      <c r="U113" s="4" t="s">
        <v>751</v>
      </c>
      <c r="AJ113" s="719"/>
      <c r="AK113" s="719"/>
      <c r="AL113" s="719"/>
      <c r="AM113" s="719"/>
      <c r="AN113" s="719"/>
      <c r="AO113" s="719"/>
      <c r="AP113" s="699" t="s">
        <v>87</v>
      </c>
      <c r="AQ113" s="719"/>
    </row>
    <row r="114" spans="1:43" x14ac:dyDescent="0.2">
      <c r="A114" s="641" t="s">
        <v>825</v>
      </c>
      <c r="B114" s="169">
        <v>5</v>
      </c>
      <c r="C114" s="285" t="str">
        <f t="shared" si="21"/>
        <v>-</v>
      </c>
      <c r="D114" s="739" t="str">
        <f t="shared" si="22"/>
        <v>-</v>
      </c>
      <c r="E114" s="794" t="s">
        <v>90</v>
      </c>
      <c r="F114" s="794" t="s">
        <v>90</v>
      </c>
      <c r="G114" s="794" t="s">
        <v>90</v>
      </c>
      <c r="H114" s="137" t="s">
        <v>90</v>
      </c>
      <c r="I114" s="137" t="s">
        <v>90</v>
      </c>
      <c r="J114" s="137" t="s">
        <v>90</v>
      </c>
      <c r="K114" s="786" t="s">
        <v>709</v>
      </c>
      <c r="L114" s="788">
        <f t="shared" si="23"/>
        <v>0.45</v>
      </c>
      <c r="M114" s="788">
        <f t="shared" si="24"/>
        <v>0.3</v>
      </c>
      <c r="N114" s="788">
        <f t="shared" si="25"/>
        <v>0.25</v>
      </c>
      <c r="P114" s="699" t="s">
        <v>87</v>
      </c>
      <c r="R114" s="785">
        <v>5</v>
      </c>
      <c r="S114" s="743">
        <v>4</v>
      </c>
      <c r="U114" s="4" t="s">
        <v>749</v>
      </c>
      <c r="AJ114" s="719"/>
      <c r="AK114" s="719"/>
      <c r="AL114" s="719"/>
      <c r="AM114" s="719"/>
      <c r="AN114" s="719"/>
      <c r="AO114" s="719"/>
      <c r="AP114" s="699" t="s">
        <v>87</v>
      </c>
      <c r="AQ114" s="719"/>
    </row>
    <row r="115" spans="1:43" ht="14.25" x14ac:dyDescent="0.2">
      <c r="A115" s="641" t="s">
        <v>700</v>
      </c>
      <c r="B115" s="169">
        <v>6</v>
      </c>
      <c r="C115" s="285" t="str">
        <f t="shared" si="21"/>
        <v>-</v>
      </c>
      <c r="D115" s="739" t="str">
        <f t="shared" si="22"/>
        <v>-</v>
      </c>
      <c r="E115" s="794" t="s">
        <v>90</v>
      </c>
      <c r="F115" s="794" t="s">
        <v>90</v>
      </c>
      <c r="G115" s="794" t="s">
        <v>90</v>
      </c>
      <c r="H115" s="137" t="s">
        <v>90</v>
      </c>
      <c r="I115" s="137" t="s">
        <v>90</v>
      </c>
      <c r="J115" s="137" t="s">
        <v>90</v>
      </c>
      <c r="K115" s="786" t="s">
        <v>707</v>
      </c>
      <c r="L115" s="788">
        <f t="shared" si="23"/>
        <v>0.7</v>
      </c>
      <c r="M115" s="788">
        <f t="shared" si="24"/>
        <v>0.4</v>
      </c>
      <c r="N115" s="788">
        <f t="shared" si="25"/>
        <v>0.75</v>
      </c>
      <c r="P115" s="699" t="s">
        <v>87</v>
      </c>
      <c r="R115" s="785">
        <v>8</v>
      </c>
      <c r="S115" s="743">
        <v>6</v>
      </c>
      <c r="U115" s="4" t="s">
        <v>754</v>
      </c>
      <c r="AJ115" s="700"/>
      <c r="AK115" s="761"/>
      <c r="AL115" s="761"/>
      <c r="AM115" s="702"/>
      <c r="AN115" s="795"/>
      <c r="AO115" s="719"/>
      <c r="AP115" s="699" t="s">
        <v>87</v>
      </c>
      <c r="AQ115" s="719"/>
    </row>
    <row r="116" spans="1:43" x14ac:dyDescent="0.2">
      <c r="A116" s="641" t="s">
        <v>826</v>
      </c>
      <c r="B116" s="169">
        <v>7</v>
      </c>
      <c r="C116" s="285" t="str">
        <f t="shared" si="21"/>
        <v>-</v>
      </c>
      <c r="D116" s="739" t="str">
        <f t="shared" si="22"/>
        <v>-</v>
      </c>
      <c r="E116" s="794" t="s">
        <v>90</v>
      </c>
      <c r="F116" s="794" t="s">
        <v>90</v>
      </c>
      <c r="G116" s="794" t="s">
        <v>90</v>
      </c>
      <c r="H116" s="137" t="s">
        <v>90</v>
      </c>
      <c r="I116" s="137" t="s">
        <v>90</v>
      </c>
      <c r="J116" s="137" t="s">
        <v>90</v>
      </c>
      <c r="K116" s="786" t="s">
        <v>350</v>
      </c>
      <c r="L116" s="788">
        <f t="shared" si="23"/>
        <v>0.15</v>
      </c>
      <c r="M116" s="788">
        <f t="shared" si="24"/>
        <v>0.1</v>
      </c>
      <c r="N116" s="788">
        <f t="shared" si="25"/>
        <v>0.5</v>
      </c>
      <c r="P116" s="699" t="s">
        <v>87</v>
      </c>
      <c r="R116" s="785">
        <v>1</v>
      </c>
      <c r="S116" s="743">
        <v>1</v>
      </c>
      <c r="U116" s="4" t="s">
        <v>749</v>
      </c>
      <c r="AJ116" s="700"/>
      <c r="AK116" s="761"/>
      <c r="AL116" s="761"/>
      <c r="AM116" s="761"/>
      <c r="AN116" s="702"/>
      <c r="AO116" s="719"/>
      <c r="AP116" s="699" t="s">
        <v>87</v>
      </c>
      <c r="AQ116" s="719"/>
    </row>
    <row r="117" spans="1:43" x14ac:dyDescent="0.2">
      <c r="A117" s="641" t="s">
        <v>827</v>
      </c>
      <c r="B117" s="169">
        <v>8</v>
      </c>
      <c r="C117" s="285" t="str">
        <f t="shared" si="21"/>
        <v>-</v>
      </c>
      <c r="D117" s="739" t="str">
        <f t="shared" si="22"/>
        <v>-</v>
      </c>
      <c r="E117" s="794" t="s">
        <v>90</v>
      </c>
      <c r="F117" s="794" t="s">
        <v>90</v>
      </c>
      <c r="G117" s="794" t="s">
        <v>90</v>
      </c>
      <c r="H117" s="137" t="s">
        <v>90</v>
      </c>
      <c r="I117" s="137" t="s">
        <v>90</v>
      </c>
      <c r="J117" s="137" t="s">
        <v>90</v>
      </c>
      <c r="K117" s="786" t="s">
        <v>350</v>
      </c>
      <c r="L117" s="788">
        <f t="shared" si="23"/>
        <v>0.25</v>
      </c>
      <c r="M117" s="788">
        <f t="shared" si="24"/>
        <v>0.1</v>
      </c>
      <c r="N117" s="788">
        <f t="shared" si="25"/>
        <v>0.5</v>
      </c>
      <c r="P117" s="699" t="s">
        <v>87</v>
      </c>
      <c r="R117" s="785">
        <v>2</v>
      </c>
      <c r="S117" s="743">
        <v>1</v>
      </c>
      <c r="U117" s="4" t="s">
        <v>749</v>
      </c>
      <c r="AP117" s="699" t="s">
        <v>87</v>
      </c>
    </row>
    <row r="118" spans="1:43" x14ac:dyDescent="0.2">
      <c r="A118" s="641" t="s">
        <v>828</v>
      </c>
      <c r="B118" s="169">
        <v>9</v>
      </c>
      <c r="C118" s="285" t="str">
        <f t="shared" si="21"/>
        <v>-</v>
      </c>
      <c r="D118" s="739" t="str">
        <f t="shared" si="22"/>
        <v>-</v>
      </c>
      <c r="E118" s="794" t="s">
        <v>90</v>
      </c>
      <c r="F118" s="794" t="s">
        <v>90</v>
      </c>
      <c r="G118" s="794" t="s">
        <v>90</v>
      </c>
      <c r="H118" s="137" t="s">
        <v>90</v>
      </c>
      <c r="I118" s="137" t="s">
        <v>90</v>
      </c>
      <c r="J118" s="137" t="s">
        <v>90</v>
      </c>
      <c r="K118" s="786" t="s">
        <v>350</v>
      </c>
      <c r="L118" s="788">
        <f t="shared" si="23"/>
        <v>0.15</v>
      </c>
      <c r="M118" s="788">
        <f t="shared" si="24"/>
        <v>0.1</v>
      </c>
      <c r="N118" s="788">
        <f t="shared" si="25"/>
        <v>0.5</v>
      </c>
      <c r="P118" s="699" t="s">
        <v>87</v>
      </c>
      <c r="R118" s="785">
        <v>1</v>
      </c>
      <c r="S118" s="743">
        <v>1</v>
      </c>
      <c r="U118" s="4" t="s">
        <v>749</v>
      </c>
      <c r="AP118" s="699" t="s">
        <v>87</v>
      </c>
    </row>
    <row r="119" spans="1:43" x14ac:dyDescent="0.2">
      <c r="A119" s="97" t="s">
        <v>822</v>
      </c>
      <c r="B119" s="162">
        <v>10</v>
      </c>
      <c r="C119" s="153" t="str">
        <f t="shared" si="21"/>
        <v>-</v>
      </c>
      <c r="D119" s="756" t="str">
        <f t="shared" si="22"/>
        <v>-</v>
      </c>
      <c r="E119" s="796" t="s">
        <v>90</v>
      </c>
      <c r="F119" s="796" t="s">
        <v>90</v>
      </c>
      <c r="G119" s="796" t="s">
        <v>90</v>
      </c>
      <c r="H119" s="139" t="s">
        <v>90</v>
      </c>
      <c r="I119" s="139" t="s">
        <v>90</v>
      </c>
      <c r="J119" s="139" t="s">
        <v>90</v>
      </c>
      <c r="K119" s="789" t="s">
        <v>350</v>
      </c>
      <c r="L119" s="791">
        <f t="shared" si="23"/>
        <v>0.35</v>
      </c>
      <c r="M119" s="791">
        <f t="shared" si="24"/>
        <v>0.1</v>
      </c>
      <c r="N119" s="791">
        <f t="shared" si="25"/>
        <v>0.5</v>
      </c>
      <c r="P119" s="699" t="s">
        <v>87</v>
      </c>
      <c r="R119" s="792">
        <v>4</v>
      </c>
      <c r="S119" s="762">
        <v>1</v>
      </c>
      <c r="U119" s="4" t="s">
        <v>754</v>
      </c>
      <c r="AP119" s="699" t="s">
        <v>87</v>
      </c>
    </row>
    <row r="120" spans="1:43" ht="14.25" x14ac:dyDescent="0.2">
      <c r="P120" s="699" t="s">
        <v>87</v>
      </c>
      <c r="AJ120" s="700"/>
      <c r="AK120" s="761"/>
      <c r="AL120" s="702"/>
      <c r="AM120" s="795"/>
      <c r="AN120" s="795"/>
      <c r="AO120" s="795"/>
      <c r="AP120" s="699" t="s">
        <v>87</v>
      </c>
      <c r="AQ120" s="719"/>
    </row>
    <row r="121" spans="1:43" ht="14.25" x14ac:dyDescent="0.2">
      <c r="A121" s="793" t="str">
        <f>$A$17</f>
        <v>Detailed information for</v>
      </c>
      <c r="B121" s="764"/>
      <c r="C121" s="765" t="s">
        <v>731</v>
      </c>
      <c r="D121" s="766" t="s">
        <v>732</v>
      </c>
      <c r="E121" s="767"/>
      <c r="F121" s="767"/>
      <c r="G121" s="768"/>
      <c r="H121" s="769" t="s">
        <v>733</v>
      </c>
      <c r="I121" s="770"/>
      <c r="J121" s="770"/>
      <c r="K121" s="771" t="s">
        <v>33</v>
      </c>
      <c r="L121" s="772" t="s">
        <v>734</v>
      </c>
      <c r="M121" s="770"/>
      <c r="N121" s="770"/>
      <c r="P121" s="699" t="s">
        <v>87</v>
      </c>
      <c r="R121" s="773" t="s">
        <v>735</v>
      </c>
      <c r="S121" s="770"/>
      <c r="AJ121" s="700"/>
      <c r="AK121" s="761"/>
      <c r="AL121" s="702"/>
      <c r="AM121" s="795"/>
      <c r="AN121" s="795"/>
      <c r="AO121" s="795"/>
      <c r="AP121" s="699" t="s">
        <v>87</v>
      </c>
      <c r="AQ121" s="719"/>
    </row>
    <row r="122" spans="1:43" ht="15" x14ac:dyDescent="0.25">
      <c r="A122" s="774" t="s">
        <v>829</v>
      </c>
      <c r="B122" s="775"/>
      <c r="C122" s="776" t="s">
        <v>736</v>
      </c>
      <c r="D122" s="777" t="s">
        <v>173</v>
      </c>
      <c r="E122" s="777" t="s">
        <v>737</v>
      </c>
      <c r="F122" s="777" t="s">
        <v>738</v>
      </c>
      <c r="G122" s="777" t="s">
        <v>739</v>
      </c>
      <c r="H122" s="777" t="s">
        <v>737</v>
      </c>
      <c r="I122" s="777" t="s">
        <v>738</v>
      </c>
      <c r="J122" s="777" t="s">
        <v>740</v>
      </c>
      <c r="K122" s="778" t="s">
        <v>8</v>
      </c>
      <c r="L122" s="779" t="s">
        <v>741</v>
      </c>
      <c r="M122" s="779" t="s">
        <v>742</v>
      </c>
      <c r="N122" s="780" t="s">
        <v>743</v>
      </c>
      <c r="P122" s="699" t="s">
        <v>87</v>
      </c>
      <c r="R122" s="777" t="s">
        <v>744</v>
      </c>
      <c r="S122" s="777" t="s">
        <v>745</v>
      </c>
      <c r="AJ122" s="700"/>
      <c r="AK122" s="761"/>
      <c r="AL122" s="702"/>
      <c r="AM122" s="795"/>
      <c r="AN122" s="795"/>
      <c r="AO122" s="795"/>
      <c r="AP122" s="699" t="s">
        <v>87</v>
      </c>
      <c r="AQ122" s="719"/>
    </row>
    <row r="123" spans="1:43" ht="14.25" x14ac:dyDescent="0.2">
      <c r="A123" s="662"/>
      <c r="B123" s="104">
        <v>66</v>
      </c>
      <c r="C123" s="167" t="s">
        <v>746</v>
      </c>
      <c r="D123" s="167" t="s">
        <v>747</v>
      </c>
      <c r="E123" s="167">
        <v>3</v>
      </c>
      <c r="F123" s="167">
        <v>4</v>
      </c>
      <c r="G123" s="167">
        <v>5</v>
      </c>
      <c r="H123" s="167">
        <v>6</v>
      </c>
      <c r="I123" s="167">
        <v>7</v>
      </c>
      <c r="J123" s="167">
        <v>8</v>
      </c>
      <c r="K123" s="167"/>
      <c r="L123" s="167"/>
      <c r="M123" s="167"/>
      <c r="N123" s="214"/>
      <c r="P123" s="699" t="s">
        <v>87</v>
      </c>
      <c r="R123" s="781"/>
      <c r="S123" s="106"/>
      <c r="AJ123" s="700"/>
      <c r="AK123" s="761"/>
      <c r="AL123" s="702"/>
      <c r="AM123" s="795"/>
      <c r="AN123" s="795"/>
      <c r="AO123" s="795"/>
      <c r="AP123" s="699" t="s">
        <v>87</v>
      </c>
      <c r="AQ123" s="719"/>
    </row>
    <row r="124" spans="1:43" ht="14.25" x14ac:dyDescent="0.2">
      <c r="A124" s="641" t="s">
        <v>830</v>
      </c>
      <c r="B124" s="169">
        <v>1</v>
      </c>
      <c r="C124" s="282" t="str">
        <f t="shared" ref="C124:C171" si="26">IF(OR(D124&lt;&gt;"-",I124&lt;&gt;"-"),SQRT(PRODUCT(L124,SUM(D124))^2+PRODUCT(M124,SUM(I124))^2+2*PRODUCT(N124,L124,SUM(D124),M124,SUM(I124))),"-")</f>
        <v>-</v>
      </c>
      <c r="D124" s="782" t="str">
        <f t="shared" ref="D124:D171" si="27">IF(OR(F124&lt;&gt;"-",G124&lt;&gt;"-"),MAX(SUM(F124),SUM(G124)),"-")</f>
        <v>-</v>
      </c>
      <c r="E124" s="797" t="s">
        <v>90</v>
      </c>
      <c r="F124" s="797" t="s">
        <v>90</v>
      </c>
      <c r="G124" s="797" t="s">
        <v>90</v>
      </c>
      <c r="H124" s="149" t="s">
        <v>90</v>
      </c>
      <c r="I124" s="149" t="s">
        <v>90</v>
      </c>
      <c r="J124" s="149" t="s">
        <v>90</v>
      </c>
      <c r="K124" s="783" t="s">
        <v>709</v>
      </c>
      <c r="L124" s="788">
        <f t="shared" ref="L124:L171" si="28">IFERROR(INDEX(ICS.NL.Buckets.P,R124),"-")</f>
        <v>0.25</v>
      </c>
      <c r="M124" s="788">
        <f t="shared" ref="M124:M171" si="29">IFERROR(INDEX(ICS.NL.Buckets.R,S124),"-")</f>
        <v>0.1</v>
      </c>
      <c r="N124" s="788">
        <f t="shared" ref="N124:N171" si="30">IFERROR(INDEX(ICS.NL.Corr.P_R,MATCH(K124,ICS.NL.CategMapping,0)),1)</f>
        <v>0.25</v>
      </c>
      <c r="P124" s="699" t="s">
        <v>87</v>
      </c>
      <c r="R124" s="785">
        <v>2</v>
      </c>
      <c r="S124" s="743">
        <v>1</v>
      </c>
      <c r="U124" s="4" t="s">
        <v>749</v>
      </c>
      <c r="AJ124" s="700"/>
      <c r="AK124" s="761"/>
      <c r="AL124" s="702"/>
      <c r="AM124" s="795"/>
      <c r="AN124" s="795"/>
      <c r="AO124" s="795"/>
      <c r="AP124" s="699" t="s">
        <v>87</v>
      </c>
      <c r="AQ124" s="719"/>
    </row>
    <row r="125" spans="1:43" ht="14.25" x14ac:dyDescent="0.2">
      <c r="A125" s="641" t="s">
        <v>831</v>
      </c>
      <c r="B125" s="169">
        <v>2</v>
      </c>
      <c r="C125" s="285" t="str">
        <f t="shared" si="26"/>
        <v>-</v>
      </c>
      <c r="D125" s="739" t="str">
        <f t="shared" si="27"/>
        <v>-</v>
      </c>
      <c r="E125" s="794" t="s">
        <v>90</v>
      </c>
      <c r="F125" s="794" t="s">
        <v>90</v>
      </c>
      <c r="G125" s="794" t="s">
        <v>90</v>
      </c>
      <c r="H125" s="137" t="s">
        <v>90</v>
      </c>
      <c r="I125" s="137" t="s">
        <v>90</v>
      </c>
      <c r="J125" s="137" t="s">
        <v>90</v>
      </c>
      <c r="K125" s="786" t="s">
        <v>709</v>
      </c>
      <c r="L125" s="788">
        <f t="shared" si="28"/>
        <v>0.25</v>
      </c>
      <c r="M125" s="788">
        <f t="shared" si="29"/>
        <v>0.1</v>
      </c>
      <c r="N125" s="788">
        <f t="shared" si="30"/>
        <v>0.25</v>
      </c>
      <c r="P125" s="699" t="s">
        <v>87</v>
      </c>
      <c r="R125" s="785">
        <v>2</v>
      </c>
      <c r="S125" s="743">
        <v>1</v>
      </c>
      <c r="U125" s="4" t="s">
        <v>749</v>
      </c>
      <c r="AJ125" s="700"/>
      <c r="AK125" s="761"/>
      <c r="AL125" s="702"/>
      <c r="AM125" s="795"/>
      <c r="AN125" s="795"/>
      <c r="AO125" s="795"/>
      <c r="AP125" s="699" t="s">
        <v>87</v>
      </c>
      <c r="AQ125" s="719"/>
    </row>
    <row r="126" spans="1:43" ht="14.25" x14ac:dyDescent="0.2">
      <c r="A126" s="641" t="s">
        <v>832</v>
      </c>
      <c r="B126" s="169">
        <v>3</v>
      </c>
      <c r="C126" s="285" t="str">
        <f t="shared" si="26"/>
        <v>-</v>
      </c>
      <c r="D126" s="739" t="str">
        <f t="shared" si="27"/>
        <v>-</v>
      </c>
      <c r="E126" s="794" t="s">
        <v>90</v>
      </c>
      <c r="F126" s="794" t="s">
        <v>90</v>
      </c>
      <c r="G126" s="794" t="s">
        <v>90</v>
      </c>
      <c r="H126" s="137" t="s">
        <v>90</v>
      </c>
      <c r="I126" s="137" t="s">
        <v>90</v>
      </c>
      <c r="J126" s="137" t="s">
        <v>90</v>
      </c>
      <c r="K126" s="786" t="s">
        <v>709</v>
      </c>
      <c r="L126" s="788">
        <f t="shared" si="28"/>
        <v>0.25</v>
      </c>
      <c r="M126" s="788">
        <f t="shared" si="29"/>
        <v>0.1</v>
      </c>
      <c r="N126" s="788">
        <f t="shared" si="30"/>
        <v>0.25</v>
      </c>
      <c r="P126" s="699" t="s">
        <v>87</v>
      </c>
      <c r="R126" s="785">
        <v>2</v>
      </c>
      <c r="S126" s="743">
        <v>1</v>
      </c>
      <c r="U126" s="4" t="s">
        <v>749</v>
      </c>
      <c r="AJ126" s="700"/>
      <c r="AK126" s="761"/>
      <c r="AL126" s="702"/>
      <c r="AM126" s="795"/>
      <c r="AN126" s="795"/>
      <c r="AO126" s="795"/>
      <c r="AP126" s="699" t="s">
        <v>87</v>
      </c>
      <c r="AQ126" s="719"/>
    </row>
    <row r="127" spans="1:43" ht="14.25" x14ac:dyDescent="0.2">
      <c r="A127" s="641" t="s">
        <v>833</v>
      </c>
      <c r="B127" s="169">
        <v>4</v>
      </c>
      <c r="C127" s="285" t="str">
        <f t="shared" si="26"/>
        <v>-</v>
      </c>
      <c r="D127" s="739" t="str">
        <f t="shared" si="27"/>
        <v>-</v>
      </c>
      <c r="E127" s="794" t="s">
        <v>90</v>
      </c>
      <c r="F127" s="794" t="s">
        <v>90</v>
      </c>
      <c r="G127" s="794" t="s">
        <v>90</v>
      </c>
      <c r="H127" s="137" t="s">
        <v>90</v>
      </c>
      <c r="I127" s="794" t="s">
        <v>90</v>
      </c>
      <c r="J127" s="137" t="s">
        <v>90</v>
      </c>
      <c r="K127" s="786" t="s">
        <v>350</v>
      </c>
      <c r="L127" s="788">
        <f t="shared" si="28"/>
        <v>0.25</v>
      </c>
      <c r="M127" s="788">
        <f t="shared" si="29"/>
        <v>0.1</v>
      </c>
      <c r="N127" s="788">
        <f t="shared" si="30"/>
        <v>0.5</v>
      </c>
      <c r="P127" s="699" t="s">
        <v>87</v>
      </c>
      <c r="R127" s="785">
        <v>2</v>
      </c>
      <c r="S127" s="743">
        <v>1</v>
      </c>
      <c r="U127" s="4" t="s">
        <v>754</v>
      </c>
      <c r="AJ127" s="700"/>
      <c r="AK127" s="761"/>
      <c r="AL127" s="702"/>
      <c r="AM127" s="795"/>
      <c r="AN127" s="795"/>
      <c r="AO127" s="795"/>
      <c r="AP127" s="699" t="s">
        <v>87</v>
      </c>
      <c r="AQ127" s="719"/>
    </row>
    <row r="128" spans="1:43" ht="14.25" x14ac:dyDescent="0.2">
      <c r="A128" s="641" t="s">
        <v>834</v>
      </c>
      <c r="B128" s="169">
        <v>5</v>
      </c>
      <c r="C128" s="285" t="str">
        <f t="shared" si="26"/>
        <v>-</v>
      </c>
      <c r="D128" s="739" t="str">
        <f t="shared" si="27"/>
        <v>-</v>
      </c>
      <c r="E128" s="794" t="s">
        <v>90</v>
      </c>
      <c r="F128" s="794" t="s">
        <v>90</v>
      </c>
      <c r="G128" s="794" t="s">
        <v>90</v>
      </c>
      <c r="H128" s="137" t="s">
        <v>90</v>
      </c>
      <c r="I128" s="794" t="s">
        <v>90</v>
      </c>
      <c r="J128" s="137" t="s">
        <v>90</v>
      </c>
      <c r="K128" s="786" t="s">
        <v>350</v>
      </c>
      <c r="L128" s="788">
        <f t="shared" si="28"/>
        <v>0.3</v>
      </c>
      <c r="M128" s="788">
        <f t="shared" si="29"/>
        <v>0.2</v>
      </c>
      <c r="N128" s="788">
        <f t="shared" si="30"/>
        <v>0.5</v>
      </c>
      <c r="P128" s="699" t="s">
        <v>87</v>
      </c>
      <c r="R128" s="785">
        <v>3</v>
      </c>
      <c r="S128" s="743">
        <v>2</v>
      </c>
      <c r="U128" s="4" t="s">
        <v>749</v>
      </c>
      <c r="AJ128" s="700"/>
      <c r="AK128" s="761"/>
      <c r="AL128" s="702"/>
      <c r="AM128" s="795"/>
      <c r="AN128" s="795"/>
      <c r="AO128" s="795"/>
      <c r="AP128" s="699" t="s">
        <v>87</v>
      </c>
      <c r="AQ128" s="719"/>
    </row>
    <row r="129" spans="1:43" ht="14.25" x14ac:dyDescent="0.2">
      <c r="A129" s="641" t="s">
        <v>835</v>
      </c>
      <c r="B129" s="169">
        <v>6</v>
      </c>
      <c r="C129" s="285" t="str">
        <f t="shared" si="26"/>
        <v>-</v>
      </c>
      <c r="D129" s="739" t="str">
        <f t="shared" si="27"/>
        <v>-</v>
      </c>
      <c r="E129" s="794" t="s">
        <v>90</v>
      </c>
      <c r="F129" s="794" t="s">
        <v>90</v>
      </c>
      <c r="G129" s="794" t="s">
        <v>90</v>
      </c>
      <c r="H129" s="137" t="s">
        <v>90</v>
      </c>
      <c r="I129" s="794" t="s">
        <v>90</v>
      </c>
      <c r="J129" s="137" t="s">
        <v>90</v>
      </c>
      <c r="K129" s="786" t="s">
        <v>709</v>
      </c>
      <c r="L129" s="788">
        <f t="shared" si="28"/>
        <v>0.3</v>
      </c>
      <c r="M129" s="788">
        <f t="shared" si="29"/>
        <v>0.2</v>
      </c>
      <c r="N129" s="788">
        <f t="shared" si="30"/>
        <v>0.25</v>
      </c>
      <c r="P129" s="699" t="s">
        <v>87</v>
      </c>
      <c r="R129" s="785">
        <v>3</v>
      </c>
      <c r="S129" s="743">
        <v>2</v>
      </c>
      <c r="U129" s="4" t="s">
        <v>749</v>
      </c>
      <c r="AJ129" s="700"/>
      <c r="AK129" s="761"/>
      <c r="AL129" s="702"/>
      <c r="AM129" s="795"/>
      <c r="AN129" s="795"/>
      <c r="AO129" s="795"/>
      <c r="AP129" s="699" t="s">
        <v>87</v>
      </c>
      <c r="AQ129" s="719"/>
    </row>
    <row r="130" spans="1:43" ht="14.25" x14ac:dyDescent="0.2">
      <c r="A130" s="641" t="s">
        <v>836</v>
      </c>
      <c r="B130" s="169">
        <v>7</v>
      </c>
      <c r="C130" s="285" t="str">
        <f t="shared" si="26"/>
        <v>-</v>
      </c>
      <c r="D130" s="739" t="str">
        <f t="shared" si="27"/>
        <v>-</v>
      </c>
      <c r="E130" s="794" t="s">
        <v>90</v>
      </c>
      <c r="F130" s="794" t="s">
        <v>90</v>
      </c>
      <c r="G130" s="794" t="s">
        <v>90</v>
      </c>
      <c r="H130" s="137" t="s">
        <v>90</v>
      </c>
      <c r="I130" s="794" t="s">
        <v>90</v>
      </c>
      <c r="J130" s="137" t="s">
        <v>90</v>
      </c>
      <c r="K130" s="786" t="s">
        <v>709</v>
      </c>
      <c r="L130" s="788">
        <f t="shared" si="28"/>
        <v>0.3</v>
      </c>
      <c r="M130" s="788">
        <f t="shared" si="29"/>
        <v>0.2</v>
      </c>
      <c r="N130" s="788">
        <f t="shared" si="30"/>
        <v>0.25</v>
      </c>
      <c r="P130" s="699" t="s">
        <v>87</v>
      </c>
      <c r="R130" s="785">
        <v>3</v>
      </c>
      <c r="S130" s="743">
        <v>2</v>
      </c>
      <c r="U130" s="4" t="s">
        <v>754</v>
      </c>
      <c r="AJ130" s="700"/>
      <c r="AK130" s="761"/>
      <c r="AL130" s="702"/>
      <c r="AM130" s="795"/>
      <c r="AN130" s="795"/>
      <c r="AO130" s="795"/>
      <c r="AP130" s="699" t="s">
        <v>87</v>
      </c>
      <c r="AQ130" s="719"/>
    </row>
    <row r="131" spans="1:43" ht="14.25" x14ac:dyDescent="0.2">
      <c r="A131" s="641" t="s">
        <v>837</v>
      </c>
      <c r="B131" s="169">
        <v>8</v>
      </c>
      <c r="C131" s="285" t="str">
        <f t="shared" si="26"/>
        <v>-</v>
      </c>
      <c r="D131" s="739" t="str">
        <f t="shared" si="27"/>
        <v>-</v>
      </c>
      <c r="E131" s="794" t="s">
        <v>90</v>
      </c>
      <c r="F131" s="794" t="s">
        <v>90</v>
      </c>
      <c r="G131" s="794" t="s">
        <v>90</v>
      </c>
      <c r="H131" s="137" t="s">
        <v>90</v>
      </c>
      <c r="I131" s="794" t="s">
        <v>90</v>
      </c>
      <c r="J131" s="137" t="s">
        <v>90</v>
      </c>
      <c r="K131" s="786" t="s">
        <v>707</v>
      </c>
      <c r="L131" s="788">
        <f t="shared" si="28"/>
        <v>0.3</v>
      </c>
      <c r="M131" s="788">
        <f t="shared" si="29"/>
        <v>0.2</v>
      </c>
      <c r="N131" s="788">
        <f t="shared" si="30"/>
        <v>0.75</v>
      </c>
      <c r="P131" s="699" t="s">
        <v>87</v>
      </c>
      <c r="R131" s="785">
        <v>3</v>
      </c>
      <c r="S131" s="743">
        <v>2</v>
      </c>
      <c r="U131" s="4" t="s">
        <v>754</v>
      </c>
      <c r="AJ131" s="700"/>
      <c r="AK131" s="761"/>
      <c r="AL131" s="702"/>
      <c r="AM131" s="795"/>
      <c r="AN131" s="795"/>
      <c r="AO131" s="795"/>
      <c r="AP131" s="699" t="s">
        <v>87</v>
      </c>
      <c r="AQ131" s="719"/>
    </row>
    <row r="132" spans="1:43" ht="14.25" x14ac:dyDescent="0.2">
      <c r="A132" s="641" t="s">
        <v>838</v>
      </c>
      <c r="B132" s="169">
        <v>9</v>
      </c>
      <c r="C132" s="285" t="str">
        <f t="shared" si="26"/>
        <v>-</v>
      </c>
      <c r="D132" s="739" t="str">
        <f t="shared" si="27"/>
        <v>-</v>
      </c>
      <c r="E132" s="794" t="s">
        <v>90</v>
      </c>
      <c r="F132" s="794" t="s">
        <v>90</v>
      </c>
      <c r="G132" s="794" t="s">
        <v>90</v>
      </c>
      <c r="H132" s="137" t="s">
        <v>90</v>
      </c>
      <c r="I132" s="794" t="s">
        <v>90</v>
      </c>
      <c r="J132" s="137" t="s">
        <v>90</v>
      </c>
      <c r="K132" s="786" t="s">
        <v>350</v>
      </c>
      <c r="L132" s="788">
        <f t="shared" si="28"/>
        <v>0.3</v>
      </c>
      <c r="M132" s="788">
        <f t="shared" si="29"/>
        <v>0.2</v>
      </c>
      <c r="N132" s="788">
        <f t="shared" si="30"/>
        <v>0.5</v>
      </c>
      <c r="P132" s="699" t="s">
        <v>87</v>
      </c>
      <c r="R132" s="785">
        <v>3</v>
      </c>
      <c r="S132" s="743">
        <v>2</v>
      </c>
      <c r="U132" s="4" t="s">
        <v>749</v>
      </c>
      <c r="AJ132" s="700"/>
      <c r="AK132" s="761"/>
      <c r="AL132" s="702"/>
      <c r="AM132" s="795"/>
      <c r="AN132" s="795"/>
      <c r="AO132" s="795"/>
      <c r="AP132" s="699" t="s">
        <v>87</v>
      </c>
      <c r="AQ132" s="719"/>
    </row>
    <row r="133" spans="1:43" ht="14.25" x14ac:dyDescent="0.2">
      <c r="A133" s="641" t="s">
        <v>839</v>
      </c>
      <c r="B133" s="169">
        <v>10</v>
      </c>
      <c r="C133" s="285" t="str">
        <f t="shared" si="26"/>
        <v>-</v>
      </c>
      <c r="D133" s="739" t="str">
        <f t="shared" si="27"/>
        <v>-</v>
      </c>
      <c r="E133" s="794" t="s">
        <v>90</v>
      </c>
      <c r="F133" s="794" t="s">
        <v>90</v>
      </c>
      <c r="G133" s="794" t="s">
        <v>90</v>
      </c>
      <c r="H133" s="137" t="s">
        <v>90</v>
      </c>
      <c r="I133" s="794" t="s">
        <v>90</v>
      </c>
      <c r="J133" s="137" t="s">
        <v>90</v>
      </c>
      <c r="K133" s="786" t="s">
        <v>350</v>
      </c>
      <c r="L133" s="788">
        <f t="shared" si="28"/>
        <v>0.3</v>
      </c>
      <c r="M133" s="788">
        <f t="shared" si="29"/>
        <v>0.2</v>
      </c>
      <c r="N133" s="788">
        <f t="shared" si="30"/>
        <v>0.5</v>
      </c>
      <c r="P133" s="699" t="s">
        <v>87</v>
      </c>
      <c r="R133" s="785">
        <v>3</v>
      </c>
      <c r="S133" s="743">
        <v>2</v>
      </c>
      <c r="U133" s="4" t="s">
        <v>754</v>
      </c>
      <c r="AJ133" s="700"/>
      <c r="AK133" s="761"/>
      <c r="AL133" s="702"/>
      <c r="AM133" s="795"/>
      <c r="AN133" s="795"/>
      <c r="AO133" s="795"/>
      <c r="AP133" s="699" t="s">
        <v>87</v>
      </c>
      <c r="AQ133" s="719"/>
    </row>
    <row r="134" spans="1:43" ht="14.25" x14ac:dyDescent="0.2">
      <c r="A134" s="641" t="s">
        <v>782</v>
      </c>
      <c r="B134" s="169">
        <v>11</v>
      </c>
      <c r="C134" s="285" t="str">
        <f t="shared" si="26"/>
        <v>-</v>
      </c>
      <c r="D134" s="739" t="str">
        <f t="shared" si="27"/>
        <v>-</v>
      </c>
      <c r="E134" s="794" t="s">
        <v>90</v>
      </c>
      <c r="F134" s="794" t="s">
        <v>90</v>
      </c>
      <c r="G134" s="794" t="s">
        <v>90</v>
      </c>
      <c r="H134" s="137" t="s">
        <v>90</v>
      </c>
      <c r="I134" s="794" t="s">
        <v>90</v>
      </c>
      <c r="J134" s="137" t="s">
        <v>90</v>
      </c>
      <c r="K134" s="786" t="s">
        <v>706</v>
      </c>
      <c r="L134" s="788">
        <f t="shared" si="28"/>
        <v>0.45</v>
      </c>
      <c r="M134" s="788">
        <f t="shared" si="29"/>
        <v>0.3</v>
      </c>
      <c r="N134" s="788">
        <f t="shared" si="30"/>
        <v>0.75</v>
      </c>
      <c r="P134" s="699" t="s">
        <v>87</v>
      </c>
      <c r="R134" s="785">
        <v>5</v>
      </c>
      <c r="S134" s="743">
        <v>4</v>
      </c>
      <c r="U134" s="4" t="s">
        <v>754</v>
      </c>
      <c r="AJ134" s="700"/>
      <c r="AK134" s="761"/>
      <c r="AL134" s="702"/>
      <c r="AM134" s="795"/>
      <c r="AN134" s="795"/>
      <c r="AO134" s="795"/>
      <c r="AP134" s="699" t="s">
        <v>87</v>
      </c>
      <c r="AQ134" s="719"/>
    </row>
    <row r="135" spans="1:43" ht="14.25" x14ac:dyDescent="0.2">
      <c r="A135" s="641" t="s">
        <v>840</v>
      </c>
      <c r="B135" s="169">
        <v>12</v>
      </c>
      <c r="C135" s="285" t="str">
        <f t="shared" si="26"/>
        <v>-</v>
      </c>
      <c r="D135" s="739" t="str">
        <f t="shared" si="27"/>
        <v>-</v>
      </c>
      <c r="E135" s="794" t="s">
        <v>90</v>
      </c>
      <c r="F135" s="794" t="s">
        <v>90</v>
      </c>
      <c r="G135" s="794" t="s">
        <v>90</v>
      </c>
      <c r="H135" s="137" t="s">
        <v>90</v>
      </c>
      <c r="I135" s="794" t="s">
        <v>90</v>
      </c>
      <c r="J135" s="137" t="s">
        <v>90</v>
      </c>
      <c r="K135" s="786" t="s">
        <v>710</v>
      </c>
      <c r="L135" s="788">
        <f t="shared" si="28"/>
        <v>0.45</v>
      </c>
      <c r="M135" s="788">
        <f t="shared" si="29"/>
        <v>0.3</v>
      </c>
      <c r="N135" s="788">
        <f t="shared" si="30"/>
        <v>0.75</v>
      </c>
      <c r="P135" s="699" t="s">
        <v>87</v>
      </c>
      <c r="R135" s="785">
        <v>5</v>
      </c>
      <c r="S135" s="743">
        <v>4</v>
      </c>
      <c r="U135" s="4" t="s">
        <v>754</v>
      </c>
      <c r="AJ135" s="700"/>
      <c r="AK135" s="761"/>
      <c r="AL135" s="702"/>
      <c r="AM135" s="795"/>
      <c r="AN135" s="795"/>
      <c r="AO135" s="795"/>
      <c r="AP135" s="699" t="s">
        <v>87</v>
      </c>
      <c r="AQ135" s="719"/>
    </row>
    <row r="136" spans="1:43" ht="14.25" x14ac:dyDescent="0.2">
      <c r="A136" s="641" t="s">
        <v>841</v>
      </c>
      <c r="B136" s="169">
        <v>13</v>
      </c>
      <c r="C136" s="285" t="str">
        <f t="shared" si="26"/>
        <v>-</v>
      </c>
      <c r="D136" s="739" t="str">
        <f t="shared" si="27"/>
        <v>-</v>
      </c>
      <c r="E136" s="794" t="s">
        <v>90</v>
      </c>
      <c r="F136" s="794" t="s">
        <v>90</v>
      </c>
      <c r="G136" s="794" t="s">
        <v>90</v>
      </c>
      <c r="H136" s="137" t="s">
        <v>90</v>
      </c>
      <c r="I136" s="794" t="s">
        <v>90</v>
      </c>
      <c r="J136" s="137" t="s">
        <v>90</v>
      </c>
      <c r="K136" s="786" t="s">
        <v>710</v>
      </c>
      <c r="L136" s="788">
        <f t="shared" si="28"/>
        <v>0.45</v>
      </c>
      <c r="M136" s="788">
        <f t="shared" si="29"/>
        <v>0.3</v>
      </c>
      <c r="N136" s="788">
        <f t="shared" si="30"/>
        <v>0.75</v>
      </c>
      <c r="P136" s="699" t="s">
        <v>87</v>
      </c>
      <c r="R136" s="785">
        <v>5</v>
      </c>
      <c r="S136" s="743">
        <v>4</v>
      </c>
      <c r="U136" s="4" t="s">
        <v>751</v>
      </c>
      <c r="AJ136" s="700"/>
      <c r="AK136" s="761"/>
      <c r="AL136" s="702"/>
      <c r="AM136" s="795"/>
      <c r="AN136" s="795"/>
      <c r="AO136" s="795"/>
      <c r="AP136" s="699" t="s">
        <v>87</v>
      </c>
      <c r="AQ136" s="719"/>
    </row>
    <row r="137" spans="1:43" ht="14.25" x14ac:dyDescent="0.2">
      <c r="A137" s="641" t="s">
        <v>842</v>
      </c>
      <c r="B137" s="169">
        <v>14</v>
      </c>
      <c r="C137" s="285" t="str">
        <f t="shared" si="26"/>
        <v>-</v>
      </c>
      <c r="D137" s="739" t="str">
        <f t="shared" si="27"/>
        <v>-</v>
      </c>
      <c r="E137" s="794" t="s">
        <v>90</v>
      </c>
      <c r="F137" s="794" t="s">
        <v>90</v>
      </c>
      <c r="G137" s="794" t="s">
        <v>90</v>
      </c>
      <c r="H137" s="137" t="s">
        <v>90</v>
      </c>
      <c r="I137" s="794" t="s">
        <v>90</v>
      </c>
      <c r="J137" s="137" t="s">
        <v>90</v>
      </c>
      <c r="K137" s="786" t="s">
        <v>710</v>
      </c>
      <c r="L137" s="788">
        <f t="shared" si="28"/>
        <v>0.45</v>
      </c>
      <c r="M137" s="788">
        <f t="shared" si="29"/>
        <v>0.3</v>
      </c>
      <c r="N137" s="788">
        <f t="shared" si="30"/>
        <v>0.75</v>
      </c>
      <c r="P137" s="699" t="s">
        <v>87</v>
      </c>
      <c r="R137" s="785">
        <v>5</v>
      </c>
      <c r="S137" s="743">
        <v>4</v>
      </c>
      <c r="U137" s="4" t="s">
        <v>751</v>
      </c>
      <c r="AJ137" s="700"/>
      <c r="AK137" s="761"/>
      <c r="AL137" s="702"/>
      <c r="AM137" s="795"/>
      <c r="AN137" s="795"/>
      <c r="AO137" s="795"/>
      <c r="AP137" s="699" t="s">
        <v>87</v>
      </c>
      <c r="AQ137" s="719"/>
    </row>
    <row r="138" spans="1:43" ht="14.25" x14ac:dyDescent="0.2">
      <c r="A138" s="641" t="s">
        <v>843</v>
      </c>
      <c r="B138" s="169">
        <v>15</v>
      </c>
      <c r="C138" s="285" t="str">
        <f t="shared" si="26"/>
        <v>-</v>
      </c>
      <c r="D138" s="739" t="str">
        <f t="shared" si="27"/>
        <v>-</v>
      </c>
      <c r="E138" s="794" t="s">
        <v>90</v>
      </c>
      <c r="F138" s="794" t="s">
        <v>90</v>
      </c>
      <c r="G138" s="794" t="s">
        <v>90</v>
      </c>
      <c r="H138" s="137" t="s">
        <v>90</v>
      </c>
      <c r="I138" s="794" t="s">
        <v>90</v>
      </c>
      <c r="J138" s="137" t="s">
        <v>90</v>
      </c>
      <c r="K138" s="786" t="s">
        <v>710</v>
      </c>
      <c r="L138" s="788">
        <f t="shared" si="28"/>
        <v>0.45</v>
      </c>
      <c r="M138" s="788">
        <f t="shared" si="29"/>
        <v>0.3</v>
      </c>
      <c r="N138" s="788">
        <f t="shared" si="30"/>
        <v>0.75</v>
      </c>
      <c r="P138" s="699" t="s">
        <v>87</v>
      </c>
      <c r="R138" s="785">
        <v>5</v>
      </c>
      <c r="S138" s="743">
        <v>4</v>
      </c>
      <c r="U138" s="4" t="s">
        <v>751</v>
      </c>
      <c r="AJ138" s="700"/>
      <c r="AK138" s="761"/>
      <c r="AL138" s="702"/>
      <c r="AM138" s="795"/>
      <c r="AN138" s="795"/>
      <c r="AO138" s="795"/>
      <c r="AP138" s="699" t="s">
        <v>87</v>
      </c>
      <c r="AQ138" s="719"/>
    </row>
    <row r="139" spans="1:43" ht="14.25" x14ac:dyDescent="0.2">
      <c r="A139" s="641" t="s">
        <v>844</v>
      </c>
      <c r="B139" s="169">
        <v>16</v>
      </c>
      <c r="C139" s="285" t="str">
        <f t="shared" si="26"/>
        <v>-</v>
      </c>
      <c r="D139" s="739" t="str">
        <f t="shared" si="27"/>
        <v>-</v>
      </c>
      <c r="E139" s="794" t="s">
        <v>90</v>
      </c>
      <c r="F139" s="794" t="s">
        <v>90</v>
      </c>
      <c r="G139" s="794" t="s">
        <v>90</v>
      </c>
      <c r="H139" s="137" t="s">
        <v>90</v>
      </c>
      <c r="I139" s="794" t="s">
        <v>90</v>
      </c>
      <c r="J139" s="137" t="s">
        <v>90</v>
      </c>
      <c r="K139" s="786" t="s">
        <v>350</v>
      </c>
      <c r="L139" s="788">
        <f t="shared" si="28"/>
        <v>0.45</v>
      </c>
      <c r="M139" s="788">
        <f t="shared" si="29"/>
        <v>0.3</v>
      </c>
      <c r="N139" s="788">
        <f t="shared" si="30"/>
        <v>0.5</v>
      </c>
      <c r="P139" s="699" t="s">
        <v>87</v>
      </c>
      <c r="R139" s="785">
        <v>5</v>
      </c>
      <c r="S139" s="743">
        <v>4</v>
      </c>
      <c r="U139" s="4" t="s">
        <v>754</v>
      </c>
      <c r="AJ139" s="700"/>
      <c r="AK139" s="761"/>
      <c r="AL139" s="702"/>
      <c r="AM139" s="795"/>
      <c r="AN139" s="795"/>
      <c r="AO139" s="795"/>
      <c r="AP139" s="699" t="s">
        <v>87</v>
      </c>
      <c r="AQ139" s="719"/>
    </row>
    <row r="140" spans="1:43" ht="14.25" x14ac:dyDescent="0.2">
      <c r="A140" s="641" t="s">
        <v>845</v>
      </c>
      <c r="B140" s="169">
        <v>17</v>
      </c>
      <c r="C140" s="285" t="str">
        <f t="shared" si="26"/>
        <v>-</v>
      </c>
      <c r="D140" s="739" t="str">
        <f t="shared" si="27"/>
        <v>-</v>
      </c>
      <c r="E140" s="794" t="s">
        <v>90</v>
      </c>
      <c r="F140" s="794" t="s">
        <v>90</v>
      </c>
      <c r="G140" s="794" t="s">
        <v>90</v>
      </c>
      <c r="H140" s="137" t="s">
        <v>90</v>
      </c>
      <c r="I140" s="794" t="s">
        <v>90</v>
      </c>
      <c r="J140" s="137" t="s">
        <v>90</v>
      </c>
      <c r="K140" s="786" t="s">
        <v>709</v>
      </c>
      <c r="L140" s="788">
        <f t="shared" si="28"/>
        <v>0.25</v>
      </c>
      <c r="M140" s="788">
        <f t="shared" si="29"/>
        <v>0.1</v>
      </c>
      <c r="N140" s="788">
        <f t="shared" si="30"/>
        <v>0.25</v>
      </c>
      <c r="P140" s="699" t="s">
        <v>87</v>
      </c>
      <c r="R140" s="785">
        <v>2</v>
      </c>
      <c r="S140" s="743">
        <v>1</v>
      </c>
      <c r="U140" s="4" t="s">
        <v>749</v>
      </c>
      <c r="AJ140" s="700"/>
      <c r="AK140" s="761"/>
      <c r="AL140" s="702"/>
      <c r="AM140" s="795"/>
      <c r="AN140" s="795"/>
      <c r="AO140" s="795"/>
      <c r="AP140" s="699" t="s">
        <v>87</v>
      </c>
      <c r="AQ140" s="719"/>
    </row>
    <row r="141" spans="1:43" ht="14.25" x14ac:dyDescent="0.2">
      <c r="A141" s="641" t="s">
        <v>846</v>
      </c>
      <c r="B141" s="169">
        <v>18</v>
      </c>
      <c r="C141" s="285" t="str">
        <f t="shared" si="26"/>
        <v>-</v>
      </c>
      <c r="D141" s="739" t="str">
        <f t="shared" si="27"/>
        <v>-</v>
      </c>
      <c r="E141" s="794" t="s">
        <v>90</v>
      </c>
      <c r="F141" s="794" t="s">
        <v>90</v>
      </c>
      <c r="G141" s="794" t="s">
        <v>90</v>
      </c>
      <c r="H141" s="137" t="s">
        <v>90</v>
      </c>
      <c r="I141" s="794" t="s">
        <v>90</v>
      </c>
      <c r="J141" s="137" t="s">
        <v>90</v>
      </c>
      <c r="K141" s="786" t="s">
        <v>709</v>
      </c>
      <c r="L141" s="788">
        <f t="shared" si="28"/>
        <v>0.25</v>
      </c>
      <c r="M141" s="788">
        <f t="shared" si="29"/>
        <v>0.1</v>
      </c>
      <c r="N141" s="788">
        <f t="shared" si="30"/>
        <v>0.25</v>
      </c>
      <c r="P141" s="699" t="s">
        <v>87</v>
      </c>
      <c r="R141" s="785">
        <v>2</v>
      </c>
      <c r="S141" s="743">
        <v>1</v>
      </c>
      <c r="U141" s="4" t="s">
        <v>749</v>
      </c>
      <c r="AJ141" s="700"/>
      <c r="AK141" s="761"/>
      <c r="AL141" s="702"/>
      <c r="AM141" s="795"/>
      <c r="AN141" s="795"/>
      <c r="AO141" s="795"/>
      <c r="AP141" s="699" t="s">
        <v>87</v>
      </c>
      <c r="AQ141" s="719"/>
    </row>
    <row r="142" spans="1:43" ht="14.25" x14ac:dyDescent="0.2">
      <c r="A142" s="641" t="s">
        <v>847</v>
      </c>
      <c r="B142" s="169">
        <v>19</v>
      </c>
      <c r="C142" s="285" t="str">
        <f t="shared" si="26"/>
        <v>-</v>
      </c>
      <c r="D142" s="739" t="str">
        <f t="shared" si="27"/>
        <v>-</v>
      </c>
      <c r="E142" s="794" t="s">
        <v>90</v>
      </c>
      <c r="F142" s="794" t="s">
        <v>90</v>
      </c>
      <c r="G142" s="794" t="s">
        <v>90</v>
      </c>
      <c r="H142" s="137" t="s">
        <v>90</v>
      </c>
      <c r="I142" s="794" t="s">
        <v>90</v>
      </c>
      <c r="J142" s="137" t="s">
        <v>90</v>
      </c>
      <c r="K142" s="786" t="s">
        <v>709</v>
      </c>
      <c r="L142" s="788">
        <f t="shared" si="28"/>
        <v>0.25</v>
      </c>
      <c r="M142" s="788">
        <f t="shared" si="29"/>
        <v>0.1</v>
      </c>
      <c r="N142" s="788">
        <f t="shared" si="30"/>
        <v>0.25</v>
      </c>
      <c r="P142" s="699" t="s">
        <v>87</v>
      </c>
      <c r="R142" s="785">
        <v>2</v>
      </c>
      <c r="S142" s="743">
        <v>1</v>
      </c>
      <c r="U142" s="4" t="s">
        <v>749</v>
      </c>
      <c r="AJ142" s="700"/>
      <c r="AK142" s="761"/>
      <c r="AL142" s="702"/>
      <c r="AM142" s="795"/>
      <c r="AN142" s="795"/>
      <c r="AO142" s="795"/>
      <c r="AP142" s="699" t="s">
        <v>87</v>
      </c>
      <c r="AQ142" s="719"/>
    </row>
    <row r="143" spans="1:43" ht="14.25" x14ac:dyDescent="0.2">
      <c r="A143" s="641" t="s">
        <v>848</v>
      </c>
      <c r="B143" s="169">
        <v>20</v>
      </c>
      <c r="C143" s="285" t="str">
        <f t="shared" si="26"/>
        <v>-</v>
      </c>
      <c r="D143" s="739" t="str">
        <f t="shared" si="27"/>
        <v>-</v>
      </c>
      <c r="E143" s="794" t="s">
        <v>90</v>
      </c>
      <c r="F143" s="794" t="s">
        <v>90</v>
      </c>
      <c r="G143" s="794" t="s">
        <v>90</v>
      </c>
      <c r="H143" s="137" t="s">
        <v>90</v>
      </c>
      <c r="I143" s="794" t="s">
        <v>90</v>
      </c>
      <c r="J143" s="137" t="s">
        <v>90</v>
      </c>
      <c r="K143" s="786" t="s">
        <v>350</v>
      </c>
      <c r="L143" s="788">
        <f t="shared" si="28"/>
        <v>0.25</v>
      </c>
      <c r="M143" s="788">
        <f t="shared" si="29"/>
        <v>0.1</v>
      </c>
      <c r="N143" s="788">
        <f t="shared" si="30"/>
        <v>0.5</v>
      </c>
      <c r="P143" s="699" t="s">
        <v>87</v>
      </c>
      <c r="R143" s="785">
        <v>2</v>
      </c>
      <c r="S143" s="743">
        <v>1</v>
      </c>
      <c r="U143" s="4" t="s">
        <v>754</v>
      </c>
      <c r="AJ143" s="700"/>
      <c r="AK143" s="761"/>
      <c r="AL143" s="702"/>
      <c r="AM143" s="795"/>
      <c r="AN143" s="795"/>
      <c r="AO143" s="795"/>
      <c r="AP143" s="699" t="s">
        <v>87</v>
      </c>
      <c r="AQ143" s="719"/>
    </row>
    <row r="144" spans="1:43" ht="14.25" x14ac:dyDescent="0.2">
      <c r="A144" s="641" t="s">
        <v>849</v>
      </c>
      <c r="B144" s="169">
        <v>21</v>
      </c>
      <c r="C144" s="285" t="str">
        <f t="shared" si="26"/>
        <v>-</v>
      </c>
      <c r="D144" s="739" t="str">
        <f t="shared" si="27"/>
        <v>-</v>
      </c>
      <c r="E144" s="794" t="s">
        <v>90</v>
      </c>
      <c r="F144" s="794" t="s">
        <v>90</v>
      </c>
      <c r="G144" s="794" t="s">
        <v>90</v>
      </c>
      <c r="H144" s="137" t="s">
        <v>90</v>
      </c>
      <c r="I144" s="794" t="s">
        <v>90</v>
      </c>
      <c r="J144" s="137" t="s">
        <v>90</v>
      </c>
      <c r="K144" s="786" t="s">
        <v>350</v>
      </c>
      <c r="L144" s="788">
        <f t="shared" si="28"/>
        <v>0.3</v>
      </c>
      <c r="M144" s="788">
        <f t="shared" si="29"/>
        <v>0.2</v>
      </c>
      <c r="N144" s="788">
        <f t="shared" si="30"/>
        <v>0.5</v>
      </c>
      <c r="P144" s="699" t="s">
        <v>87</v>
      </c>
      <c r="R144" s="785">
        <v>3</v>
      </c>
      <c r="S144" s="743">
        <v>2</v>
      </c>
      <c r="U144" s="4" t="s">
        <v>749</v>
      </c>
      <c r="AJ144" s="700"/>
      <c r="AK144" s="761"/>
      <c r="AL144" s="702"/>
      <c r="AM144" s="795"/>
      <c r="AN144" s="795"/>
      <c r="AO144" s="795"/>
      <c r="AP144" s="699" t="s">
        <v>87</v>
      </c>
      <c r="AQ144" s="719"/>
    </row>
    <row r="145" spans="1:43" ht="14.25" x14ac:dyDescent="0.2">
      <c r="A145" s="641" t="s">
        <v>850</v>
      </c>
      <c r="B145" s="169">
        <v>22</v>
      </c>
      <c r="C145" s="285" t="str">
        <f t="shared" si="26"/>
        <v>-</v>
      </c>
      <c r="D145" s="739" t="str">
        <f t="shared" si="27"/>
        <v>-</v>
      </c>
      <c r="E145" s="794" t="s">
        <v>90</v>
      </c>
      <c r="F145" s="794" t="s">
        <v>90</v>
      </c>
      <c r="G145" s="794" t="s">
        <v>90</v>
      </c>
      <c r="H145" s="137" t="s">
        <v>90</v>
      </c>
      <c r="I145" s="794" t="s">
        <v>90</v>
      </c>
      <c r="J145" s="137" t="s">
        <v>90</v>
      </c>
      <c r="K145" s="786" t="s">
        <v>709</v>
      </c>
      <c r="L145" s="788">
        <f t="shared" si="28"/>
        <v>0.3</v>
      </c>
      <c r="M145" s="788">
        <f t="shared" si="29"/>
        <v>0.2</v>
      </c>
      <c r="N145" s="788">
        <f t="shared" si="30"/>
        <v>0.25</v>
      </c>
      <c r="P145" s="699" t="s">
        <v>87</v>
      </c>
      <c r="R145" s="785">
        <v>3</v>
      </c>
      <c r="S145" s="743">
        <v>2</v>
      </c>
      <c r="U145" s="4" t="s">
        <v>749</v>
      </c>
      <c r="AJ145" s="700"/>
      <c r="AK145" s="761"/>
      <c r="AL145" s="702"/>
      <c r="AM145" s="795"/>
      <c r="AN145" s="795"/>
      <c r="AO145" s="795"/>
      <c r="AP145" s="699" t="s">
        <v>87</v>
      </c>
      <c r="AQ145" s="719"/>
    </row>
    <row r="146" spans="1:43" ht="14.25" x14ac:dyDescent="0.2">
      <c r="A146" s="641" t="s">
        <v>851</v>
      </c>
      <c r="B146" s="169">
        <v>23</v>
      </c>
      <c r="C146" s="285" t="str">
        <f t="shared" si="26"/>
        <v>-</v>
      </c>
      <c r="D146" s="739" t="str">
        <f t="shared" si="27"/>
        <v>-</v>
      </c>
      <c r="E146" s="794" t="s">
        <v>90</v>
      </c>
      <c r="F146" s="794" t="s">
        <v>90</v>
      </c>
      <c r="G146" s="794" t="s">
        <v>90</v>
      </c>
      <c r="H146" s="137" t="s">
        <v>90</v>
      </c>
      <c r="I146" s="794" t="s">
        <v>90</v>
      </c>
      <c r="J146" s="137" t="s">
        <v>90</v>
      </c>
      <c r="K146" s="786" t="s">
        <v>709</v>
      </c>
      <c r="L146" s="788">
        <f t="shared" si="28"/>
        <v>0.3</v>
      </c>
      <c r="M146" s="788">
        <f t="shared" si="29"/>
        <v>0.2</v>
      </c>
      <c r="N146" s="788">
        <f t="shared" si="30"/>
        <v>0.25</v>
      </c>
      <c r="P146" s="699" t="s">
        <v>87</v>
      </c>
      <c r="R146" s="785">
        <v>3</v>
      </c>
      <c r="S146" s="743">
        <v>2</v>
      </c>
      <c r="U146" s="4" t="s">
        <v>754</v>
      </c>
      <c r="AJ146" s="700"/>
      <c r="AK146" s="761"/>
      <c r="AL146" s="702"/>
      <c r="AM146" s="795"/>
      <c r="AN146" s="795"/>
      <c r="AO146" s="795"/>
      <c r="AP146" s="699" t="s">
        <v>87</v>
      </c>
      <c r="AQ146" s="719"/>
    </row>
    <row r="147" spans="1:43" ht="14.25" x14ac:dyDescent="0.2">
      <c r="A147" s="641" t="s">
        <v>852</v>
      </c>
      <c r="B147" s="169">
        <v>24</v>
      </c>
      <c r="C147" s="285" t="str">
        <f t="shared" si="26"/>
        <v>-</v>
      </c>
      <c r="D147" s="739" t="str">
        <f t="shared" si="27"/>
        <v>-</v>
      </c>
      <c r="E147" s="794" t="s">
        <v>90</v>
      </c>
      <c r="F147" s="794" t="s">
        <v>90</v>
      </c>
      <c r="G147" s="794" t="s">
        <v>90</v>
      </c>
      <c r="H147" s="137" t="s">
        <v>90</v>
      </c>
      <c r="I147" s="794" t="s">
        <v>90</v>
      </c>
      <c r="J147" s="137" t="s">
        <v>90</v>
      </c>
      <c r="K147" s="786" t="s">
        <v>707</v>
      </c>
      <c r="L147" s="788">
        <f t="shared" si="28"/>
        <v>0.3</v>
      </c>
      <c r="M147" s="788">
        <f t="shared" si="29"/>
        <v>0.2</v>
      </c>
      <c r="N147" s="788">
        <f t="shared" si="30"/>
        <v>0.75</v>
      </c>
      <c r="P147" s="699" t="s">
        <v>87</v>
      </c>
      <c r="R147" s="785">
        <v>3</v>
      </c>
      <c r="S147" s="743">
        <v>2</v>
      </c>
      <c r="U147" s="4" t="s">
        <v>754</v>
      </c>
      <c r="AJ147" s="700"/>
      <c r="AK147" s="761"/>
      <c r="AL147" s="702"/>
      <c r="AM147" s="795"/>
      <c r="AN147" s="795"/>
      <c r="AO147" s="795"/>
      <c r="AP147" s="699" t="s">
        <v>87</v>
      </c>
      <c r="AQ147" s="719"/>
    </row>
    <row r="148" spans="1:43" ht="14.25" x14ac:dyDescent="0.2">
      <c r="A148" s="641" t="s">
        <v>853</v>
      </c>
      <c r="B148" s="169">
        <v>25</v>
      </c>
      <c r="C148" s="285" t="str">
        <f t="shared" si="26"/>
        <v>-</v>
      </c>
      <c r="D148" s="739" t="str">
        <f t="shared" si="27"/>
        <v>-</v>
      </c>
      <c r="E148" s="794" t="s">
        <v>90</v>
      </c>
      <c r="F148" s="794" t="s">
        <v>90</v>
      </c>
      <c r="G148" s="794" t="s">
        <v>90</v>
      </c>
      <c r="H148" s="137" t="s">
        <v>90</v>
      </c>
      <c r="I148" s="794" t="s">
        <v>90</v>
      </c>
      <c r="J148" s="137" t="s">
        <v>90</v>
      </c>
      <c r="K148" s="786" t="s">
        <v>350</v>
      </c>
      <c r="L148" s="788">
        <f t="shared" si="28"/>
        <v>0.3</v>
      </c>
      <c r="M148" s="788">
        <f t="shared" si="29"/>
        <v>0.2</v>
      </c>
      <c r="N148" s="788">
        <f t="shared" si="30"/>
        <v>0.5</v>
      </c>
      <c r="P148" s="699" t="s">
        <v>87</v>
      </c>
      <c r="R148" s="785">
        <v>3</v>
      </c>
      <c r="S148" s="743">
        <v>2</v>
      </c>
      <c r="U148" s="4" t="s">
        <v>749</v>
      </c>
      <c r="AJ148" s="700"/>
      <c r="AK148" s="761"/>
      <c r="AL148" s="702"/>
      <c r="AM148" s="795"/>
      <c r="AN148" s="795"/>
      <c r="AO148" s="795"/>
      <c r="AP148" s="699" t="s">
        <v>87</v>
      </c>
      <c r="AQ148" s="719"/>
    </row>
    <row r="149" spans="1:43" ht="14.25" x14ac:dyDescent="0.2">
      <c r="A149" s="641" t="s">
        <v>854</v>
      </c>
      <c r="B149" s="169">
        <v>26</v>
      </c>
      <c r="C149" s="285" t="str">
        <f t="shared" si="26"/>
        <v>-</v>
      </c>
      <c r="D149" s="739" t="str">
        <f t="shared" si="27"/>
        <v>-</v>
      </c>
      <c r="E149" s="794" t="s">
        <v>90</v>
      </c>
      <c r="F149" s="794" t="s">
        <v>90</v>
      </c>
      <c r="G149" s="794" t="s">
        <v>90</v>
      </c>
      <c r="H149" s="137" t="s">
        <v>90</v>
      </c>
      <c r="I149" s="794" t="s">
        <v>90</v>
      </c>
      <c r="J149" s="137" t="s">
        <v>90</v>
      </c>
      <c r="K149" s="786" t="s">
        <v>350</v>
      </c>
      <c r="L149" s="788">
        <f t="shared" si="28"/>
        <v>0.3</v>
      </c>
      <c r="M149" s="788">
        <f t="shared" si="29"/>
        <v>0.2</v>
      </c>
      <c r="N149" s="788">
        <f t="shared" si="30"/>
        <v>0.5</v>
      </c>
      <c r="P149" s="699" t="s">
        <v>87</v>
      </c>
      <c r="R149" s="785">
        <v>3</v>
      </c>
      <c r="S149" s="743">
        <v>2</v>
      </c>
      <c r="U149" s="4" t="s">
        <v>754</v>
      </c>
      <c r="AJ149" s="700"/>
      <c r="AK149" s="761"/>
      <c r="AL149" s="702"/>
      <c r="AM149" s="795"/>
      <c r="AN149" s="795"/>
      <c r="AO149" s="795"/>
      <c r="AP149" s="699" t="s">
        <v>87</v>
      </c>
      <c r="AQ149" s="719"/>
    </row>
    <row r="150" spans="1:43" ht="14.25" x14ac:dyDescent="0.2">
      <c r="A150" s="641" t="s">
        <v>855</v>
      </c>
      <c r="B150" s="169">
        <v>27</v>
      </c>
      <c r="C150" s="285" t="str">
        <f t="shared" si="26"/>
        <v>-</v>
      </c>
      <c r="D150" s="739" t="str">
        <f t="shared" si="27"/>
        <v>-</v>
      </c>
      <c r="E150" s="794" t="s">
        <v>90</v>
      </c>
      <c r="F150" s="794" t="s">
        <v>90</v>
      </c>
      <c r="G150" s="794" t="s">
        <v>90</v>
      </c>
      <c r="H150" s="137" t="s">
        <v>90</v>
      </c>
      <c r="I150" s="794" t="s">
        <v>90</v>
      </c>
      <c r="J150" s="137" t="s">
        <v>90</v>
      </c>
      <c r="K150" s="786" t="s">
        <v>706</v>
      </c>
      <c r="L150" s="788">
        <f t="shared" si="28"/>
        <v>0.45</v>
      </c>
      <c r="M150" s="788">
        <f t="shared" si="29"/>
        <v>0.3</v>
      </c>
      <c r="N150" s="788">
        <f t="shared" si="30"/>
        <v>0.75</v>
      </c>
      <c r="P150" s="699" t="s">
        <v>87</v>
      </c>
      <c r="R150" s="785">
        <v>5</v>
      </c>
      <c r="S150" s="743">
        <v>4</v>
      </c>
      <c r="U150" s="4" t="s">
        <v>754</v>
      </c>
      <c r="AJ150" s="700"/>
      <c r="AK150" s="761"/>
      <c r="AL150" s="702"/>
      <c r="AM150" s="795"/>
      <c r="AN150" s="795"/>
      <c r="AO150" s="795"/>
      <c r="AP150" s="699" t="s">
        <v>87</v>
      </c>
      <c r="AQ150" s="719"/>
    </row>
    <row r="151" spans="1:43" ht="14.25" x14ac:dyDescent="0.2">
      <c r="A151" s="641" t="s">
        <v>856</v>
      </c>
      <c r="B151" s="169">
        <v>28</v>
      </c>
      <c r="C151" s="285" t="str">
        <f t="shared" si="26"/>
        <v>-</v>
      </c>
      <c r="D151" s="739" t="str">
        <f t="shared" si="27"/>
        <v>-</v>
      </c>
      <c r="E151" s="794" t="s">
        <v>90</v>
      </c>
      <c r="F151" s="794" t="s">
        <v>90</v>
      </c>
      <c r="G151" s="794" t="s">
        <v>90</v>
      </c>
      <c r="H151" s="137" t="s">
        <v>90</v>
      </c>
      <c r="I151" s="794" t="s">
        <v>90</v>
      </c>
      <c r="J151" s="137" t="s">
        <v>90</v>
      </c>
      <c r="K151" s="786" t="s">
        <v>710</v>
      </c>
      <c r="L151" s="788">
        <f t="shared" si="28"/>
        <v>0.45</v>
      </c>
      <c r="M151" s="788">
        <f t="shared" si="29"/>
        <v>0.3</v>
      </c>
      <c r="N151" s="788">
        <f t="shared" si="30"/>
        <v>0.75</v>
      </c>
      <c r="P151" s="699" t="s">
        <v>87</v>
      </c>
      <c r="R151" s="785">
        <v>5</v>
      </c>
      <c r="S151" s="743">
        <v>4</v>
      </c>
      <c r="U151" s="4" t="s">
        <v>754</v>
      </c>
      <c r="AJ151" s="700"/>
      <c r="AK151" s="761"/>
      <c r="AL151" s="702"/>
      <c r="AM151" s="795"/>
      <c r="AN151" s="795"/>
      <c r="AO151" s="795"/>
      <c r="AP151" s="699" t="s">
        <v>87</v>
      </c>
      <c r="AQ151" s="719"/>
    </row>
    <row r="152" spans="1:43" ht="14.25" x14ac:dyDescent="0.2">
      <c r="A152" s="641" t="s">
        <v>857</v>
      </c>
      <c r="B152" s="169">
        <v>29</v>
      </c>
      <c r="C152" s="285" t="str">
        <f t="shared" si="26"/>
        <v>-</v>
      </c>
      <c r="D152" s="739" t="str">
        <f t="shared" si="27"/>
        <v>-</v>
      </c>
      <c r="E152" s="794" t="s">
        <v>90</v>
      </c>
      <c r="F152" s="794" t="s">
        <v>90</v>
      </c>
      <c r="G152" s="794" t="s">
        <v>90</v>
      </c>
      <c r="H152" s="137" t="s">
        <v>90</v>
      </c>
      <c r="I152" s="794" t="s">
        <v>90</v>
      </c>
      <c r="J152" s="137" t="s">
        <v>90</v>
      </c>
      <c r="K152" s="786" t="s">
        <v>710</v>
      </c>
      <c r="L152" s="788">
        <f t="shared" si="28"/>
        <v>0.45</v>
      </c>
      <c r="M152" s="788">
        <f t="shared" si="29"/>
        <v>0.3</v>
      </c>
      <c r="N152" s="788">
        <f t="shared" si="30"/>
        <v>0.75</v>
      </c>
      <c r="P152" s="699" t="s">
        <v>87</v>
      </c>
      <c r="R152" s="785">
        <v>5</v>
      </c>
      <c r="S152" s="743">
        <v>4</v>
      </c>
      <c r="U152" s="4" t="s">
        <v>751</v>
      </c>
      <c r="AJ152" s="700"/>
      <c r="AK152" s="761"/>
      <c r="AL152" s="702"/>
      <c r="AM152" s="795"/>
      <c r="AN152" s="795"/>
      <c r="AO152" s="795"/>
      <c r="AP152" s="699" t="s">
        <v>87</v>
      </c>
      <c r="AQ152" s="719"/>
    </row>
    <row r="153" spans="1:43" ht="14.25" x14ac:dyDescent="0.2">
      <c r="A153" s="641" t="s">
        <v>858</v>
      </c>
      <c r="B153" s="169">
        <v>30</v>
      </c>
      <c r="C153" s="285" t="str">
        <f t="shared" si="26"/>
        <v>-</v>
      </c>
      <c r="D153" s="739" t="str">
        <f t="shared" si="27"/>
        <v>-</v>
      </c>
      <c r="E153" s="794" t="s">
        <v>90</v>
      </c>
      <c r="F153" s="794" t="s">
        <v>90</v>
      </c>
      <c r="G153" s="794" t="s">
        <v>90</v>
      </c>
      <c r="H153" s="137" t="s">
        <v>90</v>
      </c>
      <c r="I153" s="794" t="s">
        <v>90</v>
      </c>
      <c r="J153" s="137" t="s">
        <v>90</v>
      </c>
      <c r="K153" s="786" t="s">
        <v>710</v>
      </c>
      <c r="L153" s="788">
        <f t="shared" si="28"/>
        <v>0.45</v>
      </c>
      <c r="M153" s="788">
        <f t="shared" si="29"/>
        <v>0.3</v>
      </c>
      <c r="N153" s="788">
        <f t="shared" si="30"/>
        <v>0.75</v>
      </c>
      <c r="P153" s="699" t="s">
        <v>87</v>
      </c>
      <c r="R153" s="785">
        <v>5</v>
      </c>
      <c r="S153" s="743">
        <v>4</v>
      </c>
      <c r="U153" s="4" t="s">
        <v>751</v>
      </c>
      <c r="AJ153" s="700"/>
      <c r="AK153" s="761"/>
      <c r="AL153" s="702"/>
      <c r="AM153" s="795"/>
      <c r="AN153" s="795"/>
      <c r="AO153" s="795"/>
      <c r="AP153" s="699" t="s">
        <v>87</v>
      </c>
      <c r="AQ153" s="719"/>
    </row>
    <row r="154" spans="1:43" ht="14.25" x14ac:dyDescent="0.2">
      <c r="A154" s="641" t="s">
        <v>859</v>
      </c>
      <c r="B154" s="169">
        <v>31</v>
      </c>
      <c r="C154" s="285" t="str">
        <f t="shared" si="26"/>
        <v>-</v>
      </c>
      <c r="D154" s="739" t="str">
        <f t="shared" si="27"/>
        <v>-</v>
      </c>
      <c r="E154" s="794" t="s">
        <v>90</v>
      </c>
      <c r="F154" s="794" t="s">
        <v>90</v>
      </c>
      <c r="G154" s="794" t="s">
        <v>90</v>
      </c>
      <c r="H154" s="137" t="s">
        <v>90</v>
      </c>
      <c r="I154" s="794" t="s">
        <v>90</v>
      </c>
      <c r="J154" s="137" t="s">
        <v>90</v>
      </c>
      <c r="K154" s="786" t="s">
        <v>710</v>
      </c>
      <c r="L154" s="788">
        <f t="shared" si="28"/>
        <v>0.45</v>
      </c>
      <c r="M154" s="788">
        <f t="shared" si="29"/>
        <v>0.3</v>
      </c>
      <c r="N154" s="788">
        <f t="shared" si="30"/>
        <v>0.75</v>
      </c>
      <c r="P154" s="699" t="s">
        <v>87</v>
      </c>
      <c r="R154" s="785">
        <v>5</v>
      </c>
      <c r="S154" s="743">
        <v>4</v>
      </c>
      <c r="U154" s="4" t="s">
        <v>751</v>
      </c>
      <c r="AJ154" s="700"/>
      <c r="AK154" s="761"/>
      <c r="AL154" s="702"/>
      <c r="AM154" s="795"/>
      <c r="AN154" s="795"/>
      <c r="AO154" s="795"/>
      <c r="AP154" s="699" t="s">
        <v>87</v>
      </c>
      <c r="AQ154" s="719"/>
    </row>
    <row r="155" spans="1:43" ht="14.25" x14ac:dyDescent="0.2">
      <c r="A155" s="641" t="s">
        <v>860</v>
      </c>
      <c r="B155" s="169">
        <v>32</v>
      </c>
      <c r="C155" s="285" t="str">
        <f t="shared" si="26"/>
        <v>-</v>
      </c>
      <c r="D155" s="739" t="str">
        <f t="shared" si="27"/>
        <v>-</v>
      </c>
      <c r="E155" s="794" t="s">
        <v>90</v>
      </c>
      <c r="F155" s="794" t="s">
        <v>90</v>
      </c>
      <c r="G155" s="794" t="s">
        <v>90</v>
      </c>
      <c r="H155" s="137" t="s">
        <v>90</v>
      </c>
      <c r="I155" s="794" t="s">
        <v>90</v>
      </c>
      <c r="J155" s="137" t="s">
        <v>90</v>
      </c>
      <c r="K155" s="786" t="s">
        <v>350</v>
      </c>
      <c r="L155" s="788">
        <f t="shared" si="28"/>
        <v>0.45</v>
      </c>
      <c r="M155" s="788">
        <f t="shared" si="29"/>
        <v>0.3</v>
      </c>
      <c r="N155" s="788">
        <f t="shared" si="30"/>
        <v>0.5</v>
      </c>
      <c r="P155" s="699" t="s">
        <v>87</v>
      </c>
      <c r="R155" s="785">
        <v>5</v>
      </c>
      <c r="S155" s="743">
        <v>4</v>
      </c>
      <c r="U155" s="4" t="s">
        <v>754</v>
      </c>
      <c r="AJ155" s="700"/>
      <c r="AK155" s="761"/>
      <c r="AL155" s="702"/>
      <c r="AM155" s="795"/>
      <c r="AN155" s="795"/>
      <c r="AO155" s="795"/>
      <c r="AP155" s="699" t="s">
        <v>87</v>
      </c>
      <c r="AQ155" s="719"/>
    </row>
    <row r="156" spans="1:43" ht="14.25" x14ac:dyDescent="0.2">
      <c r="A156" s="641" t="s">
        <v>861</v>
      </c>
      <c r="B156" s="169">
        <v>33</v>
      </c>
      <c r="C156" s="285" t="str">
        <f t="shared" si="26"/>
        <v>-</v>
      </c>
      <c r="D156" s="739" t="str">
        <f t="shared" si="27"/>
        <v>-</v>
      </c>
      <c r="E156" s="794" t="s">
        <v>90</v>
      </c>
      <c r="F156" s="794" t="s">
        <v>90</v>
      </c>
      <c r="G156" s="794" t="s">
        <v>90</v>
      </c>
      <c r="H156" s="137" t="s">
        <v>90</v>
      </c>
      <c r="I156" s="794" t="s">
        <v>90</v>
      </c>
      <c r="J156" s="137" t="s">
        <v>90</v>
      </c>
      <c r="K156" s="786" t="s">
        <v>709</v>
      </c>
      <c r="L156" s="788">
        <f t="shared" si="28"/>
        <v>0.35</v>
      </c>
      <c r="M156" s="788">
        <f t="shared" si="29"/>
        <v>0.25</v>
      </c>
      <c r="N156" s="788">
        <f t="shared" si="30"/>
        <v>0.25</v>
      </c>
      <c r="P156" s="699" t="s">
        <v>87</v>
      </c>
      <c r="R156" s="785">
        <v>4</v>
      </c>
      <c r="S156" s="743">
        <v>3</v>
      </c>
      <c r="U156" s="4" t="s">
        <v>749</v>
      </c>
      <c r="AJ156" s="700"/>
      <c r="AK156" s="761"/>
      <c r="AL156" s="702"/>
      <c r="AM156" s="795"/>
      <c r="AN156" s="795"/>
      <c r="AO156" s="795"/>
      <c r="AP156" s="699" t="s">
        <v>87</v>
      </c>
      <c r="AQ156" s="719"/>
    </row>
    <row r="157" spans="1:43" ht="14.25" x14ac:dyDescent="0.2">
      <c r="A157" s="641" t="s">
        <v>862</v>
      </c>
      <c r="B157" s="169">
        <v>34</v>
      </c>
      <c r="C157" s="285" t="str">
        <f t="shared" si="26"/>
        <v>-</v>
      </c>
      <c r="D157" s="739" t="str">
        <f t="shared" si="27"/>
        <v>-</v>
      </c>
      <c r="E157" s="794" t="s">
        <v>90</v>
      </c>
      <c r="F157" s="794" t="s">
        <v>90</v>
      </c>
      <c r="G157" s="794" t="s">
        <v>90</v>
      </c>
      <c r="H157" s="137" t="s">
        <v>90</v>
      </c>
      <c r="I157" s="794" t="s">
        <v>90</v>
      </c>
      <c r="J157" s="137" t="s">
        <v>90</v>
      </c>
      <c r="K157" s="786" t="s">
        <v>709</v>
      </c>
      <c r="L157" s="788">
        <f t="shared" si="28"/>
        <v>0.35</v>
      </c>
      <c r="M157" s="788">
        <f t="shared" si="29"/>
        <v>0.25</v>
      </c>
      <c r="N157" s="788">
        <f t="shared" si="30"/>
        <v>0.25</v>
      </c>
      <c r="P157" s="699" t="s">
        <v>87</v>
      </c>
      <c r="R157" s="785">
        <v>4</v>
      </c>
      <c r="S157" s="743">
        <v>3</v>
      </c>
      <c r="U157" s="4" t="s">
        <v>749</v>
      </c>
      <c r="AJ157" s="700"/>
      <c r="AK157" s="761"/>
      <c r="AL157" s="702"/>
      <c r="AM157" s="795"/>
      <c r="AN157" s="795"/>
      <c r="AO157" s="795"/>
      <c r="AP157" s="699" t="s">
        <v>87</v>
      </c>
      <c r="AQ157" s="719"/>
    </row>
    <row r="158" spans="1:43" ht="14.25" x14ac:dyDescent="0.2">
      <c r="A158" s="641" t="s">
        <v>863</v>
      </c>
      <c r="B158" s="169">
        <v>35</v>
      </c>
      <c r="C158" s="285" t="str">
        <f t="shared" si="26"/>
        <v>-</v>
      </c>
      <c r="D158" s="739" t="str">
        <f t="shared" si="27"/>
        <v>-</v>
      </c>
      <c r="E158" s="794" t="s">
        <v>90</v>
      </c>
      <c r="F158" s="794" t="s">
        <v>90</v>
      </c>
      <c r="G158" s="794" t="s">
        <v>90</v>
      </c>
      <c r="H158" s="137" t="s">
        <v>90</v>
      </c>
      <c r="I158" s="794" t="s">
        <v>90</v>
      </c>
      <c r="J158" s="137" t="s">
        <v>90</v>
      </c>
      <c r="K158" s="786" t="s">
        <v>709</v>
      </c>
      <c r="L158" s="788">
        <f t="shared" si="28"/>
        <v>0.35</v>
      </c>
      <c r="M158" s="788">
        <f t="shared" si="29"/>
        <v>0.25</v>
      </c>
      <c r="N158" s="788">
        <f t="shared" si="30"/>
        <v>0.25</v>
      </c>
      <c r="P158" s="699" t="s">
        <v>87</v>
      </c>
      <c r="R158" s="785">
        <v>4</v>
      </c>
      <c r="S158" s="743">
        <v>3</v>
      </c>
      <c r="U158" s="4" t="s">
        <v>749</v>
      </c>
      <c r="AJ158" s="700"/>
      <c r="AK158" s="761"/>
      <c r="AL158" s="702"/>
      <c r="AM158" s="795"/>
      <c r="AN158" s="795"/>
      <c r="AO158" s="795"/>
      <c r="AP158" s="699" t="s">
        <v>87</v>
      </c>
      <c r="AQ158" s="719"/>
    </row>
    <row r="159" spans="1:43" ht="14.25" x14ac:dyDescent="0.2">
      <c r="A159" s="641" t="s">
        <v>864</v>
      </c>
      <c r="B159" s="169">
        <v>36</v>
      </c>
      <c r="C159" s="285" t="str">
        <f t="shared" si="26"/>
        <v>-</v>
      </c>
      <c r="D159" s="739" t="str">
        <f t="shared" si="27"/>
        <v>-</v>
      </c>
      <c r="E159" s="794" t="s">
        <v>90</v>
      </c>
      <c r="F159" s="794" t="s">
        <v>90</v>
      </c>
      <c r="G159" s="794" t="s">
        <v>90</v>
      </c>
      <c r="H159" s="137" t="s">
        <v>90</v>
      </c>
      <c r="I159" s="794" t="s">
        <v>90</v>
      </c>
      <c r="J159" s="137" t="s">
        <v>90</v>
      </c>
      <c r="K159" s="786" t="s">
        <v>350</v>
      </c>
      <c r="L159" s="788">
        <f t="shared" si="28"/>
        <v>0.35</v>
      </c>
      <c r="M159" s="788">
        <f t="shared" si="29"/>
        <v>0.25</v>
      </c>
      <c r="N159" s="788">
        <f t="shared" si="30"/>
        <v>0.5</v>
      </c>
      <c r="P159" s="699" t="s">
        <v>87</v>
      </c>
      <c r="R159" s="785">
        <v>4</v>
      </c>
      <c r="S159" s="743">
        <v>3</v>
      </c>
      <c r="U159" s="4" t="s">
        <v>754</v>
      </c>
      <c r="AJ159" s="700"/>
      <c r="AK159" s="761"/>
      <c r="AL159" s="702"/>
      <c r="AM159" s="795"/>
      <c r="AN159" s="795"/>
      <c r="AO159" s="795"/>
      <c r="AP159" s="699" t="s">
        <v>87</v>
      </c>
      <c r="AQ159" s="719"/>
    </row>
    <row r="160" spans="1:43" ht="14.25" x14ac:dyDescent="0.2">
      <c r="A160" s="641" t="s">
        <v>865</v>
      </c>
      <c r="B160" s="169">
        <v>37</v>
      </c>
      <c r="C160" s="285" t="str">
        <f t="shared" si="26"/>
        <v>-</v>
      </c>
      <c r="D160" s="739" t="str">
        <f t="shared" si="27"/>
        <v>-</v>
      </c>
      <c r="E160" s="794" t="s">
        <v>90</v>
      </c>
      <c r="F160" s="794" t="s">
        <v>90</v>
      </c>
      <c r="G160" s="794" t="s">
        <v>90</v>
      </c>
      <c r="H160" s="137" t="s">
        <v>90</v>
      </c>
      <c r="I160" s="794" t="s">
        <v>90</v>
      </c>
      <c r="J160" s="137" t="s">
        <v>90</v>
      </c>
      <c r="K160" s="786" t="s">
        <v>350</v>
      </c>
      <c r="L160" s="788">
        <f t="shared" si="28"/>
        <v>0.5</v>
      </c>
      <c r="M160" s="788">
        <f t="shared" si="29"/>
        <v>0.35</v>
      </c>
      <c r="N160" s="788">
        <f t="shared" si="30"/>
        <v>0.5</v>
      </c>
      <c r="P160" s="699" t="s">
        <v>87</v>
      </c>
      <c r="R160" s="785">
        <v>6</v>
      </c>
      <c r="S160" s="743">
        <v>5</v>
      </c>
      <c r="U160" s="4" t="s">
        <v>749</v>
      </c>
      <c r="AJ160" s="700"/>
      <c r="AK160" s="761"/>
      <c r="AL160" s="702"/>
      <c r="AM160" s="795"/>
      <c r="AN160" s="795"/>
      <c r="AO160" s="795"/>
      <c r="AP160" s="699" t="s">
        <v>87</v>
      </c>
      <c r="AQ160" s="719"/>
    </row>
    <row r="161" spans="1:43" ht="14.25" x14ac:dyDescent="0.2">
      <c r="A161" s="641" t="s">
        <v>866</v>
      </c>
      <c r="B161" s="169">
        <v>38</v>
      </c>
      <c r="C161" s="285" t="str">
        <f t="shared" si="26"/>
        <v>-</v>
      </c>
      <c r="D161" s="739" t="str">
        <f t="shared" si="27"/>
        <v>-</v>
      </c>
      <c r="E161" s="794" t="s">
        <v>90</v>
      </c>
      <c r="F161" s="794" t="s">
        <v>90</v>
      </c>
      <c r="G161" s="794" t="s">
        <v>90</v>
      </c>
      <c r="H161" s="137" t="s">
        <v>90</v>
      </c>
      <c r="I161" s="794" t="s">
        <v>90</v>
      </c>
      <c r="J161" s="137" t="s">
        <v>90</v>
      </c>
      <c r="K161" s="786" t="s">
        <v>709</v>
      </c>
      <c r="L161" s="788">
        <f t="shared" si="28"/>
        <v>0.5</v>
      </c>
      <c r="M161" s="788">
        <f t="shared" si="29"/>
        <v>0.35</v>
      </c>
      <c r="N161" s="788">
        <f t="shared" si="30"/>
        <v>0.25</v>
      </c>
      <c r="P161" s="699" t="s">
        <v>87</v>
      </c>
      <c r="R161" s="785">
        <v>6</v>
      </c>
      <c r="S161" s="743">
        <v>5</v>
      </c>
      <c r="U161" s="4" t="s">
        <v>749</v>
      </c>
      <c r="AJ161" s="700"/>
      <c r="AK161" s="761"/>
      <c r="AL161" s="702"/>
      <c r="AM161" s="795"/>
      <c r="AN161" s="795"/>
      <c r="AO161" s="795"/>
      <c r="AP161" s="699" t="s">
        <v>87</v>
      </c>
      <c r="AQ161" s="719"/>
    </row>
    <row r="162" spans="1:43" ht="14.25" x14ac:dyDescent="0.2">
      <c r="A162" s="641" t="s">
        <v>867</v>
      </c>
      <c r="B162" s="169">
        <v>39</v>
      </c>
      <c r="C162" s="285" t="str">
        <f t="shared" si="26"/>
        <v>-</v>
      </c>
      <c r="D162" s="739" t="str">
        <f t="shared" si="27"/>
        <v>-</v>
      </c>
      <c r="E162" s="794" t="s">
        <v>90</v>
      </c>
      <c r="F162" s="794" t="s">
        <v>90</v>
      </c>
      <c r="G162" s="794" t="s">
        <v>90</v>
      </c>
      <c r="H162" s="137" t="s">
        <v>90</v>
      </c>
      <c r="I162" s="794" t="s">
        <v>90</v>
      </c>
      <c r="J162" s="137" t="s">
        <v>90</v>
      </c>
      <c r="K162" s="786" t="s">
        <v>709</v>
      </c>
      <c r="L162" s="788">
        <f t="shared" si="28"/>
        <v>0.5</v>
      </c>
      <c r="M162" s="788">
        <f t="shared" si="29"/>
        <v>0.35</v>
      </c>
      <c r="N162" s="788">
        <f t="shared" si="30"/>
        <v>0.25</v>
      </c>
      <c r="P162" s="699" t="s">
        <v>87</v>
      </c>
      <c r="R162" s="785">
        <v>6</v>
      </c>
      <c r="S162" s="743">
        <v>5</v>
      </c>
      <c r="U162" s="4" t="s">
        <v>749</v>
      </c>
      <c r="AJ162" s="700"/>
      <c r="AK162" s="761"/>
      <c r="AL162" s="702"/>
      <c r="AM162" s="795"/>
      <c r="AN162" s="795"/>
      <c r="AO162" s="795"/>
      <c r="AP162" s="699" t="s">
        <v>87</v>
      </c>
      <c r="AQ162" s="719"/>
    </row>
    <row r="163" spans="1:43" ht="14.25" x14ac:dyDescent="0.2">
      <c r="A163" s="641" t="s">
        <v>868</v>
      </c>
      <c r="B163" s="169">
        <v>40</v>
      </c>
      <c r="C163" s="285" t="str">
        <f t="shared" si="26"/>
        <v>-</v>
      </c>
      <c r="D163" s="739" t="str">
        <f t="shared" si="27"/>
        <v>-</v>
      </c>
      <c r="E163" s="794" t="s">
        <v>90</v>
      </c>
      <c r="F163" s="794" t="s">
        <v>90</v>
      </c>
      <c r="G163" s="794" t="s">
        <v>90</v>
      </c>
      <c r="H163" s="137" t="s">
        <v>90</v>
      </c>
      <c r="I163" s="794" t="s">
        <v>90</v>
      </c>
      <c r="J163" s="137" t="s">
        <v>90</v>
      </c>
      <c r="K163" s="786" t="s">
        <v>707</v>
      </c>
      <c r="L163" s="788">
        <f t="shared" si="28"/>
        <v>0.5</v>
      </c>
      <c r="M163" s="788">
        <f t="shared" si="29"/>
        <v>0.35</v>
      </c>
      <c r="N163" s="788">
        <f t="shared" si="30"/>
        <v>0.75</v>
      </c>
      <c r="P163" s="699" t="s">
        <v>87</v>
      </c>
      <c r="R163" s="785">
        <v>6</v>
      </c>
      <c r="S163" s="743">
        <v>5</v>
      </c>
      <c r="U163" s="4" t="s">
        <v>754</v>
      </c>
      <c r="AJ163" s="700"/>
      <c r="AK163" s="761"/>
      <c r="AL163" s="702"/>
      <c r="AM163" s="795"/>
      <c r="AN163" s="795"/>
      <c r="AO163" s="795"/>
      <c r="AP163" s="699" t="s">
        <v>87</v>
      </c>
      <c r="AQ163" s="719"/>
    </row>
    <row r="164" spans="1:43" ht="14.25" x14ac:dyDescent="0.2">
      <c r="A164" s="641" t="s">
        <v>869</v>
      </c>
      <c r="B164" s="169">
        <v>41</v>
      </c>
      <c r="C164" s="285" t="str">
        <f t="shared" si="26"/>
        <v>-</v>
      </c>
      <c r="D164" s="739" t="str">
        <f t="shared" si="27"/>
        <v>-</v>
      </c>
      <c r="E164" s="794" t="s">
        <v>90</v>
      </c>
      <c r="F164" s="794" t="s">
        <v>90</v>
      </c>
      <c r="G164" s="794" t="s">
        <v>90</v>
      </c>
      <c r="H164" s="137" t="s">
        <v>90</v>
      </c>
      <c r="I164" s="794" t="s">
        <v>90</v>
      </c>
      <c r="J164" s="137" t="s">
        <v>90</v>
      </c>
      <c r="K164" s="786" t="s">
        <v>350</v>
      </c>
      <c r="L164" s="788">
        <f t="shared" si="28"/>
        <v>0.5</v>
      </c>
      <c r="M164" s="788">
        <f t="shared" si="29"/>
        <v>0.35</v>
      </c>
      <c r="N164" s="788">
        <f t="shared" si="30"/>
        <v>0.5</v>
      </c>
      <c r="P164" s="699" t="s">
        <v>87</v>
      </c>
      <c r="R164" s="785">
        <v>6</v>
      </c>
      <c r="S164" s="743">
        <v>5</v>
      </c>
      <c r="U164" s="4" t="s">
        <v>749</v>
      </c>
      <c r="AJ164" s="700"/>
      <c r="AK164" s="761"/>
      <c r="AL164" s="702"/>
      <c r="AM164" s="795"/>
      <c r="AN164" s="795"/>
      <c r="AO164" s="795"/>
      <c r="AP164" s="699" t="s">
        <v>87</v>
      </c>
      <c r="AQ164" s="719"/>
    </row>
    <row r="165" spans="1:43" ht="14.25" x14ac:dyDescent="0.2">
      <c r="A165" s="641" t="s">
        <v>870</v>
      </c>
      <c r="B165" s="169">
        <v>42</v>
      </c>
      <c r="C165" s="285" t="str">
        <f t="shared" si="26"/>
        <v>-</v>
      </c>
      <c r="D165" s="739" t="str">
        <f t="shared" si="27"/>
        <v>-</v>
      </c>
      <c r="E165" s="794" t="s">
        <v>90</v>
      </c>
      <c r="F165" s="794" t="s">
        <v>90</v>
      </c>
      <c r="G165" s="794" t="s">
        <v>90</v>
      </c>
      <c r="H165" s="137" t="s">
        <v>90</v>
      </c>
      <c r="I165" s="794" t="s">
        <v>90</v>
      </c>
      <c r="J165" s="137" t="s">
        <v>90</v>
      </c>
      <c r="K165" s="786" t="s">
        <v>350</v>
      </c>
      <c r="L165" s="788">
        <f t="shared" si="28"/>
        <v>0.5</v>
      </c>
      <c r="M165" s="788">
        <f t="shared" si="29"/>
        <v>0.35</v>
      </c>
      <c r="N165" s="788">
        <f t="shared" si="30"/>
        <v>0.5</v>
      </c>
      <c r="P165" s="699" t="s">
        <v>87</v>
      </c>
      <c r="R165" s="785">
        <v>6</v>
      </c>
      <c r="S165" s="743">
        <v>5</v>
      </c>
      <c r="U165" s="4" t="s">
        <v>754</v>
      </c>
      <c r="AJ165" s="700"/>
      <c r="AK165" s="761"/>
      <c r="AL165" s="702"/>
      <c r="AM165" s="795"/>
      <c r="AN165" s="795"/>
      <c r="AO165" s="795"/>
      <c r="AP165" s="699" t="s">
        <v>87</v>
      </c>
      <c r="AQ165" s="719"/>
    </row>
    <row r="166" spans="1:43" ht="14.25" x14ac:dyDescent="0.2">
      <c r="A166" s="641" t="s">
        <v>871</v>
      </c>
      <c r="B166" s="169">
        <v>43</v>
      </c>
      <c r="C166" s="285" t="str">
        <f t="shared" si="26"/>
        <v>-</v>
      </c>
      <c r="D166" s="739" t="str">
        <f t="shared" si="27"/>
        <v>-</v>
      </c>
      <c r="E166" s="794" t="s">
        <v>90</v>
      </c>
      <c r="F166" s="794" t="s">
        <v>90</v>
      </c>
      <c r="G166" s="794" t="s">
        <v>90</v>
      </c>
      <c r="H166" s="137" t="s">
        <v>90</v>
      </c>
      <c r="I166" s="794" t="s">
        <v>90</v>
      </c>
      <c r="J166" s="137" t="s">
        <v>90</v>
      </c>
      <c r="K166" s="786" t="s">
        <v>706</v>
      </c>
      <c r="L166" s="788">
        <f t="shared" si="28"/>
        <v>0.55000000000000004</v>
      </c>
      <c r="M166" s="788">
        <f t="shared" si="29"/>
        <v>0.4</v>
      </c>
      <c r="N166" s="788">
        <f t="shared" si="30"/>
        <v>0.75</v>
      </c>
      <c r="P166" s="699" t="s">
        <v>87</v>
      </c>
      <c r="R166" s="785">
        <v>7</v>
      </c>
      <c r="S166" s="743">
        <v>6</v>
      </c>
      <c r="U166" s="4" t="s">
        <v>754</v>
      </c>
      <c r="AJ166" s="700"/>
      <c r="AK166" s="761"/>
      <c r="AL166" s="702"/>
      <c r="AM166" s="795"/>
      <c r="AN166" s="795"/>
      <c r="AO166" s="795"/>
      <c r="AP166" s="699" t="s">
        <v>87</v>
      </c>
      <c r="AQ166" s="719"/>
    </row>
    <row r="167" spans="1:43" ht="14.25" x14ac:dyDescent="0.2">
      <c r="A167" s="641" t="s">
        <v>872</v>
      </c>
      <c r="B167" s="169">
        <v>44</v>
      </c>
      <c r="C167" s="285" t="str">
        <f t="shared" si="26"/>
        <v>-</v>
      </c>
      <c r="D167" s="739" t="str">
        <f t="shared" si="27"/>
        <v>-</v>
      </c>
      <c r="E167" s="794" t="s">
        <v>90</v>
      </c>
      <c r="F167" s="794" t="s">
        <v>90</v>
      </c>
      <c r="G167" s="794" t="s">
        <v>90</v>
      </c>
      <c r="H167" s="137" t="s">
        <v>90</v>
      </c>
      <c r="I167" s="794" t="s">
        <v>90</v>
      </c>
      <c r="J167" s="137" t="s">
        <v>90</v>
      </c>
      <c r="K167" s="786" t="s">
        <v>710</v>
      </c>
      <c r="L167" s="788">
        <f t="shared" si="28"/>
        <v>0.55000000000000004</v>
      </c>
      <c r="M167" s="788">
        <f t="shared" si="29"/>
        <v>0.4</v>
      </c>
      <c r="N167" s="788">
        <f t="shared" si="30"/>
        <v>0.75</v>
      </c>
      <c r="P167" s="699" t="s">
        <v>87</v>
      </c>
      <c r="R167" s="785">
        <v>7</v>
      </c>
      <c r="S167" s="743">
        <v>6</v>
      </c>
      <c r="U167" s="4" t="s">
        <v>754</v>
      </c>
      <c r="AJ167" s="700"/>
      <c r="AK167" s="761"/>
      <c r="AL167" s="702"/>
      <c r="AM167" s="795"/>
      <c r="AN167" s="795"/>
      <c r="AO167" s="795"/>
      <c r="AP167" s="699" t="s">
        <v>87</v>
      </c>
      <c r="AQ167" s="719"/>
    </row>
    <row r="168" spans="1:43" ht="14.25" x14ac:dyDescent="0.2">
      <c r="A168" s="641" t="s">
        <v>873</v>
      </c>
      <c r="B168" s="169">
        <v>45</v>
      </c>
      <c r="C168" s="285" t="str">
        <f t="shared" si="26"/>
        <v>-</v>
      </c>
      <c r="D168" s="739" t="str">
        <f t="shared" si="27"/>
        <v>-</v>
      </c>
      <c r="E168" s="794" t="s">
        <v>90</v>
      </c>
      <c r="F168" s="794" t="s">
        <v>90</v>
      </c>
      <c r="G168" s="794" t="s">
        <v>90</v>
      </c>
      <c r="H168" s="137" t="s">
        <v>90</v>
      </c>
      <c r="I168" s="794" t="s">
        <v>90</v>
      </c>
      <c r="J168" s="137" t="s">
        <v>90</v>
      </c>
      <c r="K168" s="786" t="s">
        <v>710</v>
      </c>
      <c r="L168" s="788">
        <f t="shared" si="28"/>
        <v>0.55000000000000004</v>
      </c>
      <c r="M168" s="788">
        <f t="shared" si="29"/>
        <v>0.4</v>
      </c>
      <c r="N168" s="788">
        <f t="shared" si="30"/>
        <v>0.75</v>
      </c>
      <c r="P168" s="699" t="s">
        <v>87</v>
      </c>
      <c r="R168" s="785">
        <v>7</v>
      </c>
      <c r="S168" s="743">
        <v>6</v>
      </c>
      <c r="U168" s="4" t="s">
        <v>751</v>
      </c>
      <c r="AJ168" s="700"/>
      <c r="AK168" s="761"/>
      <c r="AL168" s="702"/>
      <c r="AM168" s="795"/>
      <c r="AN168" s="795"/>
      <c r="AO168" s="795"/>
      <c r="AP168" s="699" t="s">
        <v>87</v>
      </c>
      <c r="AQ168" s="719"/>
    </row>
    <row r="169" spans="1:43" ht="14.25" x14ac:dyDescent="0.2">
      <c r="A169" s="641" t="s">
        <v>874</v>
      </c>
      <c r="B169" s="169">
        <v>46</v>
      </c>
      <c r="C169" s="285" t="str">
        <f t="shared" si="26"/>
        <v>-</v>
      </c>
      <c r="D169" s="739" t="str">
        <f t="shared" si="27"/>
        <v>-</v>
      </c>
      <c r="E169" s="794" t="s">
        <v>90</v>
      </c>
      <c r="F169" s="794" t="s">
        <v>90</v>
      </c>
      <c r="G169" s="794" t="s">
        <v>90</v>
      </c>
      <c r="H169" s="137" t="s">
        <v>90</v>
      </c>
      <c r="I169" s="794" t="s">
        <v>90</v>
      </c>
      <c r="J169" s="137" t="s">
        <v>90</v>
      </c>
      <c r="K169" s="786" t="s">
        <v>710</v>
      </c>
      <c r="L169" s="788">
        <f t="shared" si="28"/>
        <v>0.55000000000000004</v>
      </c>
      <c r="M169" s="788">
        <f t="shared" si="29"/>
        <v>0.4</v>
      </c>
      <c r="N169" s="788">
        <f t="shared" si="30"/>
        <v>0.75</v>
      </c>
      <c r="P169" s="699" t="s">
        <v>87</v>
      </c>
      <c r="R169" s="785">
        <v>7</v>
      </c>
      <c r="S169" s="743">
        <v>6</v>
      </c>
      <c r="U169" s="4" t="s">
        <v>751</v>
      </c>
      <c r="AJ169" s="700"/>
      <c r="AK169" s="761"/>
      <c r="AL169" s="702"/>
      <c r="AM169" s="795"/>
      <c r="AN169" s="795"/>
      <c r="AO169" s="795"/>
      <c r="AP169" s="699" t="s">
        <v>87</v>
      </c>
      <c r="AQ169" s="719"/>
    </row>
    <row r="170" spans="1:43" ht="14.25" x14ac:dyDescent="0.2">
      <c r="A170" s="641" t="s">
        <v>875</v>
      </c>
      <c r="B170" s="169">
        <v>47</v>
      </c>
      <c r="C170" s="285" t="str">
        <f t="shared" si="26"/>
        <v>-</v>
      </c>
      <c r="D170" s="739" t="str">
        <f t="shared" si="27"/>
        <v>-</v>
      </c>
      <c r="E170" s="794" t="s">
        <v>90</v>
      </c>
      <c r="F170" s="794" t="s">
        <v>90</v>
      </c>
      <c r="G170" s="794" t="s">
        <v>90</v>
      </c>
      <c r="H170" s="137" t="s">
        <v>90</v>
      </c>
      <c r="I170" s="794" t="s">
        <v>90</v>
      </c>
      <c r="J170" s="137" t="s">
        <v>90</v>
      </c>
      <c r="K170" s="786" t="s">
        <v>710</v>
      </c>
      <c r="L170" s="788">
        <f t="shared" si="28"/>
        <v>0.55000000000000004</v>
      </c>
      <c r="M170" s="788">
        <f t="shared" si="29"/>
        <v>0.4</v>
      </c>
      <c r="N170" s="788">
        <f t="shared" si="30"/>
        <v>0.75</v>
      </c>
      <c r="P170" s="699" t="s">
        <v>87</v>
      </c>
      <c r="R170" s="785">
        <v>7</v>
      </c>
      <c r="S170" s="743">
        <v>6</v>
      </c>
      <c r="U170" s="4" t="s">
        <v>751</v>
      </c>
      <c r="AJ170" s="700"/>
      <c r="AK170" s="761"/>
      <c r="AL170" s="702"/>
      <c r="AM170" s="795"/>
      <c r="AN170" s="795"/>
      <c r="AO170" s="795"/>
      <c r="AP170" s="699" t="s">
        <v>87</v>
      </c>
      <c r="AQ170" s="719"/>
    </row>
    <row r="171" spans="1:43" ht="14.25" x14ac:dyDescent="0.2">
      <c r="A171" s="97" t="s">
        <v>876</v>
      </c>
      <c r="B171" s="162">
        <v>48</v>
      </c>
      <c r="C171" s="153" t="str">
        <f t="shared" si="26"/>
        <v>-</v>
      </c>
      <c r="D171" s="756" t="str">
        <f t="shared" si="27"/>
        <v>-</v>
      </c>
      <c r="E171" s="796" t="s">
        <v>90</v>
      </c>
      <c r="F171" s="796" t="s">
        <v>90</v>
      </c>
      <c r="G171" s="796" t="s">
        <v>90</v>
      </c>
      <c r="H171" s="139" t="s">
        <v>90</v>
      </c>
      <c r="I171" s="796" t="s">
        <v>90</v>
      </c>
      <c r="J171" s="139" t="s">
        <v>90</v>
      </c>
      <c r="K171" s="789" t="s">
        <v>350</v>
      </c>
      <c r="L171" s="791">
        <f t="shared" si="28"/>
        <v>0.55000000000000004</v>
      </c>
      <c r="M171" s="791">
        <f t="shared" si="29"/>
        <v>0.4</v>
      </c>
      <c r="N171" s="791">
        <f t="shared" si="30"/>
        <v>0.5</v>
      </c>
      <c r="P171" s="699" t="s">
        <v>87</v>
      </c>
      <c r="R171" s="792">
        <v>7</v>
      </c>
      <c r="S171" s="762">
        <v>6</v>
      </c>
      <c r="U171" s="4" t="s">
        <v>754</v>
      </c>
      <c r="AJ171" s="700"/>
      <c r="AK171" s="761"/>
      <c r="AL171" s="702"/>
      <c r="AM171" s="795"/>
      <c r="AN171" s="795"/>
      <c r="AO171" s="795"/>
      <c r="AP171" s="699" t="s">
        <v>87</v>
      </c>
      <c r="AQ171" s="719"/>
    </row>
    <row r="172" spans="1:43" ht="14.25" x14ac:dyDescent="0.2">
      <c r="P172" s="699" t="s">
        <v>87</v>
      </c>
      <c r="AJ172" s="700"/>
      <c r="AK172" s="761"/>
      <c r="AL172" s="702"/>
      <c r="AM172" s="795"/>
      <c r="AN172" s="795"/>
      <c r="AO172" s="795"/>
      <c r="AP172" s="699" t="s">
        <v>87</v>
      </c>
      <c r="AQ172" s="719"/>
    </row>
    <row r="173" spans="1:43" ht="14.25" x14ac:dyDescent="0.2">
      <c r="A173" s="793" t="str">
        <f>$A$17</f>
        <v>Detailed information for</v>
      </c>
      <c r="B173" s="764"/>
      <c r="C173" s="765" t="s">
        <v>731</v>
      </c>
      <c r="D173" s="766" t="s">
        <v>732</v>
      </c>
      <c r="E173" s="767"/>
      <c r="F173" s="767"/>
      <c r="G173" s="768"/>
      <c r="H173" s="769" t="s">
        <v>733</v>
      </c>
      <c r="I173" s="770"/>
      <c r="J173" s="770"/>
      <c r="K173" s="771" t="s">
        <v>33</v>
      </c>
      <c r="L173" s="772" t="s">
        <v>734</v>
      </c>
      <c r="M173" s="770"/>
      <c r="N173" s="770"/>
      <c r="P173" s="699" t="s">
        <v>87</v>
      </c>
      <c r="R173" s="773" t="s">
        <v>735</v>
      </c>
      <c r="S173" s="770"/>
      <c r="AJ173" s="700"/>
      <c r="AK173" s="761"/>
      <c r="AL173" s="702"/>
      <c r="AM173" s="795"/>
      <c r="AN173" s="795"/>
      <c r="AO173" s="795"/>
      <c r="AP173" s="699"/>
      <c r="AQ173" s="719"/>
    </row>
    <row r="174" spans="1:43" ht="15" x14ac:dyDescent="0.25">
      <c r="A174" s="774" t="s">
        <v>877</v>
      </c>
      <c r="B174" s="799"/>
      <c r="C174" s="776" t="s">
        <v>736</v>
      </c>
      <c r="D174" s="777" t="s">
        <v>173</v>
      </c>
      <c r="E174" s="777" t="s">
        <v>737</v>
      </c>
      <c r="F174" s="777" t="s">
        <v>738</v>
      </c>
      <c r="G174" s="777" t="s">
        <v>739</v>
      </c>
      <c r="H174" s="777" t="s">
        <v>737</v>
      </c>
      <c r="I174" s="777" t="s">
        <v>738</v>
      </c>
      <c r="J174" s="777" t="s">
        <v>740</v>
      </c>
      <c r="K174" s="778" t="s">
        <v>8</v>
      </c>
      <c r="L174" s="779" t="s">
        <v>741</v>
      </c>
      <c r="M174" s="779" t="s">
        <v>742</v>
      </c>
      <c r="N174" s="780" t="s">
        <v>743</v>
      </c>
      <c r="P174" s="699" t="s">
        <v>87</v>
      </c>
      <c r="R174" s="777" t="s">
        <v>744</v>
      </c>
      <c r="S174" s="777" t="s">
        <v>745</v>
      </c>
      <c r="AJ174" s="700"/>
      <c r="AK174" s="761"/>
      <c r="AL174" s="702"/>
      <c r="AM174" s="795"/>
      <c r="AN174" s="795"/>
      <c r="AO174" s="795"/>
      <c r="AP174" s="699"/>
      <c r="AQ174" s="719"/>
    </row>
    <row r="175" spans="1:43" ht="14.25" x14ac:dyDescent="0.2">
      <c r="A175" s="662"/>
      <c r="B175" s="104">
        <v>67</v>
      </c>
      <c r="C175" s="167" t="s">
        <v>746</v>
      </c>
      <c r="D175" s="167" t="s">
        <v>747</v>
      </c>
      <c r="E175" s="167">
        <v>3</v>
      </c>
      <c r="F175" s="167">
        <v>4</v>
      </c>
      <c r="G175" s="167">
        <v>5</v>
      </c>
      <c r="H175" s="167">
        <v>6</v>
      </c>
      <c r="I175" s="167">
        <v>7</v>
      </c>
      <c r="J175" s="167">
        <v>8</v>
      </c>
      <c r="K175" s="167"/>
      <c r="L175" s="167"/>
      <c r="M175" s="167"/>
      <c r="N175" s="214"/>
      <c r="P175" s="699" t="s">
        <v>87</v>
      </c>
      <c r="R175" s="781"/>
      <c r="S175" s="106"/>
      <c r="AJ175" s="700"/>
      <c r="AK175" s="761"/>
      <c r="AL175" s="702"/>
      <c r="AM175" s="795"/>
      <c r="AN175" s="795"/>
      <c r="AO175" s="795"/>
      <c r="AP175" s="699"/>
      <c r="AQ175" s="719"/>
    </row>
    <row r="176" spans="1:43" ht="14.25" x14ac:dyDescent="0.2">
      <c r="A176" s="641" t="s">
        <v>878</v>
      </c>
      <c r="B176" s="169">
        <v>1</v>
      </c>
      <c r="C176" s="282" t="str">
        <f t="shared" ref="C176:C185" si="31">IF(OR(D176&lt;&gt;"-",I176&lt;&gt;"-"),SQRT(PRODUCT(L176,SUM(D176))^2+PRODUCT(M176,SUM(I176))^2+2*PRODUCT(N176,L176,SUM(D176),M176,SUM(I176))),"-")</f>
        <v>-</v>
      </c>
      <c r="D176" s="782" t="str">
        <f t="shared" ref="D176:D185" si="32">IF(OR(F176&lt;&gt;"-",G176&lt;&gt;"-"),MAX(SUM(F176),SUM(G176)),"-")</f>
        <v>-</v>
      </c>
      <c r="E176" s="797" t="s">
        <v>90</v>
      </c>
      <c r="F176" s="797" t="s">
        <v>90</v>
      </c>
      <c r="G176" s="797" t="s">
        <v>90</v>
      </c>
      <c r="H176" s="149" t="s">
        <v>90</v>
      </c>
      <c r="I176" s="797" t="s">
        <v>90</v>
      </c>
      <c r="J176" s="149" t="s">
        <v>90</v>
      </c>
      <c r="K176" s="783" t="s">
        <v>350</v>
      </c>
      <c r="L176" s="800">
        <f t="shared" ref="L176:L185" si="33">IFERROR(INDEX(ICS.NL.Buckets.P,R176),"-")</f>
        <v>0.3</v>
      </c>
      <c r="M176" s="801">
        <f t="shared" ref="M176:M185" si="34">IFERROR(INDEX(ICS.NL.Buckets.R,S176),"-")</f>
        <v>0.25</v>
      </c>
      <c r="N176" s="798">
        <f t="shared" ref="N176:N185" si="35">IFERROR(INDEX(ICS.NL.Corr.P_R,MATCH(K176,ICS.NL.CategMapping,0)),1)</f>
        <v>0.5</v>
      </c>
      <c r="P176" s="699" t="s">
        <v>87</v>
      </c>
      <c r="R176" s="785">
        <v>3</v>
      </c>
      <c r="S176" s="743">
        <v>3</v>
      </c>
      <c r="U176" s="4" t="s">
        <v>749</v>
      </c>
      <c r="AJ176" s="700"/>
      <c r="AK176" s="761"/>
      <c r="AL176" s="702"/>
      <c r="AM176" s="795"/>
      <c r="AN176" s="795"/>
      <c r="AO176" s="795"/>
      <c r="AP176" s="699"/>
      <c r="AQ176" s="719"/>
    </row>
    <row r="177" spans="1:43" ht="14.25" x14ac:dyDescent="0.2">
      <c r="A177" s="641" t="s">
        <v>879</v>
      </c>
      <c r="B177" s="169">
        <v>2</v>
      </c>
      <c r="C177" s="285" t="str">
        <f t="shared" si="31"/>
        <v>-</v>
      </c>
      <c r="D177" s="739" t="str">
        <f t="shared" si="32"/>
        <v>-</v>
      </c>
      <c r="E177" s="794" t="s">
        <v>90</v>
      </c>
      <c r="F177" s="794" t="s">
        <v>90</v>
      </c>
      <c r="G177" s="794" t="s">
        <v>90</v>
      </c>
      <c r="H177" s="137" t="s">
        <v>90</v>
      </c>
      <c r="I177" s="794" t="s">
        <v>90</v>
      </c>
      <c r="J177" s="137" t="s">
        <v>90</v>
      </c>
      <c r="K177" s="786" t="s">
        <v>709</v>
      </c>
      <c r="L177" s="802">
        <f t="shared" si="33"/>
        <v>0.25</v>
      </c>
      <c r="M177" s="803">
        <f t="shared" si="34"/>
        <v>0.2</v>
      </c>
      <c r="N177" s="788">
        <f t="shared" si="35"/>
        <v>0.25</v>
      </c>
      <c r="P177" s="699" t="s">
        <v>87</v>
      </c>
      <c r="R177" s="785">
        <v>2</v>
      </c>
      <c r="S177" s="743">
        <v>2</v>
      </c>
      <c r="U177" s="4" t="s">
        <v>754</v>
      </c>
      <c r="AJ177" s="700"/>
      <c r="AK177" s="761"/>
      <c r="AL177" s="702"/>
      <c r="AM177" s="795"/>
      <c r="AN177" s="795"/>
      <c r="AO177" s="795"/>
      <c r="AP177" s="699"/>
      <c r="AQ177" s="719"/>
    </row>
    <row r="178" spans="1:43" ht="14.25" x14ac:dyDescent="0.2">
      <c r="A178" s="641" t="s">
        <v>880</v>
      </c>
      <c r="B178" s="169">
        <v>3</v>
      </c>
      <c r="C178" s="285" t="str">
        <f t="shared" si="31"/>
        <v>-</v>
      </c>
      <c r="D178" s="739" t="str">
        <f t="shared" si="32"/>
        <v>-</v>
      </c>
      <c r="E178" s="794" t="s">
        <v>90</v>
      </c>
      <c r="F178" s="794" t="s">
        <v>90</v>
      </c>
      <c r="G178" s="794" t="s">
        <v>90</v>
      </c>
      <c r="H178" s="137" t="s">
        <v>90</v>
      </c>
      <c r="I178" s="794" t="s">
        <v>90</v>
      </c>
      <c r="J178" s="137" t="s">
        <v>90</v>
      </c>
      <c r="K178" s="786" t="s">
        <v>709</v>
      </c>
      <c r="L178" s="802">
        <f t="shared" si="33"/>
        <v>0.35</v>
      </c>
      <c r="M178" s="803">
        <f t="shared" si="34"/>
        <v>0.35</v>
      </c>
      <c r="N178" s="788">
        <f t="shared" si="35"/>
        <v>0.25</v>
      </c>
      <c r="P178" s="699" t="s">
        <v>87</v>
      </c>
      <c r="R178" s="785">
        <v>4</v>
      </c>
      <c r="S178" s="743">
        <v>5</v>
      </c>
      <c r="U178" s="4" t="s">
        <v>754</v>
      </c>
      <c r="AJ178" s="700"/>
      <c r="AK178" s="761"/>
      <c r="AL178" s="702"/>
      <c r="AM178" s="795"/>
      <c r="AN178" s="795"/>
      <c r="AO178" s="795"/>
      <c r="AP178" s="699"/>
      <c r="AQ178" s="719"/>
    </row>
    <row r="179" spans="1:43" ht="14.25" x14ac:dyDescent="0.2">
      <c r="A179" s="641" t="s">
        <v>881</v>
      </c>
      <c r="B179" s="169">
        <v>4</v>
      </c>
      <c r="C179" s="285" t="str">
        <f t="shared" si="31"/>
        <v>-</v>
      </c>
      <c r="D179" s="739" t="str">
        <f t="shared" si="32"/>
        <v>-</v>
      </c>
      <c r="E179" s="794" t="s">
        <v>90</v>
      </c>
      <c r="F179" s="794" t="s">
        <v>90</v>
      </c>
      <c r="G179" s="794" t="s">
        <v>90</v>
      </c>
      <c r="H179" s="137" t="s">
        <v>90</v>
      </c>
      <c r="I179" s="794" t="s">
        <v>90</v>
      </c>
      <c r="J179" s="137" t="s">
        <v>90</v>
      </c>
      <c r="K179" s="786" t="s">
        <v>709</v>
      </c>
      <c r="L179" s="802">
        <f t="shared" si="33"/>
        <v>0.35</v>
      </c>
      <c r="M179" s="803">
        <f t="shared" si="34"/>
        <v>0.35</v>
      </c>
      <c r="N179" s="788">
        <f t="shared" si="35"/>
        <v>0.25</v>
      </c>
      <c r="P179" s="699" t="s">
        <v>87</v>
      </c>
      <c r="R179" s="785">
        <v>4</v>
      </c>
      <c r="S179" s="743">
        <v>5</v>
      </c>
      <c r="U179" s="4" t="s">
        <v>751</v>
      </c>
      <c r="AJ179" s="700"/>
      <c r="AK179" s="761"/>
      <c r="AL179" s="702"/>
      <c r="AM179" s="795"/>
      <c r="AN179" s="795"/>
      <c r="AO179" s="795"/>
      <c r="AP179" s="699"/>
      <c r="AQ179" s="719"/>
    </row>
    <row r="180" spans="1:43" ht="14.25" x14ac:dyDescent="0.2">
      <c r="A180" s="641" t="s">
        <v>882</v>
      </c>
      <c r="B180" s="169">
        <v>5</v>
      </c>
      <c r="C180" s="285" t="str">
        <f t="shared" si="31"/>
        <v>-</v>
      </c>
      <c r="D180" s="739" t="str">
        <f t="shared" si="32"/>
        <v>-</v>
      </c>
      <c r="E180" s="794" t="s">
        <v>90</v>
      </c>
      <c r="F180" s="794" t="s">
        <v>90</v>
      </c>
      <c r="G180" s="794" t="s">
        <v>90</v>
      </c>
      <c r="H180" s="137" t="s">
        <v>90</v>
      </c>
      <c r="I180" s="794" t="s">
        <v>90</v>
      </c>
      <c r="J180" s="137" t="s">
        <v>90</v>
      </c>
      <c r="K180" s="786" t="s">
        <v>709</v>
      </c>
      <c r="L180" s="802">
        <f t="shared" si="33"/>
        <v>0.35</v>
      </c>
      <c r="M180" s="803">
        <f t="shared" si="34"/>
        <v>0.35</v>
      </c>
      <c r="N180" s="788">
        <f t="shared" si="35"/>
        <v>0.25</v>
      </c>
      <c r="P180" s="699" t="s">
        <v>87</v>
      </c>
      <c r="R180" s="785">
        <v>4</v>
      </c>
      <c r="S180" s="743">
        <v>5</v>
      </c>
      <c r="U180" s="4" t="s">
        <v>749</v>
      </c>
      <c r="AJ180" s="700"/>
      <c r="AK180" s="761"/>
      <c r="AL180" s="702"/>
      <c r="AM180" s="795"/>
      <c r="AN180" s="795"/>
      <c r="AO180" s="795"/>
      <c r="AP180" s="699"/>
      <c r="AQ180" s="719"/>
    </row>
    <row r="181" spans="1:43" ht="14.25" x14ac:dyDescent="0.2">
      <c r="A181" s="641" t="s">
        <v>883</v>
      </c>
      <c r="B181" s="169">
        <v>6</v>
      </c>
      <c r="C181" s="285" t="str">
        <f t="shared" si="31"/>
        <v>-</v>
      </c>
      <c r="D181" s="739" t="str">
        <f t="shared" si="32"/>
        <v>-</v>
      </c>
      <c r="E181" s="794" t="s">
        <v>90</v>
      </c>
      <c r="F181" s="794" t="s">
        <v>90</v>
      </c>
      <c r="G181" s="794" t="s">
        <v>90</v>
      </c>
      <c r="H181" s="137" t="s">
        <v>90</v>
      </c>
      <c r="I181" s="794" t="s">
        <v>90</v>
      </c>
      <c r="J181" s="137" t="s">
        <v>90</v>
      </c>
      <c r="K181" s="786" t="s">
        <v>709</v>
      </c>
      <c r="L181" s="802">
        <f t="shared" si="33"/>
        <v>0.35</v>
      </c>
      <c r="M181" s="803">
        <f t="shared" si="34"/>
        <v>0.3</v>
      </c>
      <c r="N181" s="788">
        <f t="shared" si="35"/>
        <v>0.25</v>
      </c>
      <c r="P181" s="699" t="s">
        <v>87</v>
      </c>
      <c r="R181" s="785">
        <v>4</v>
      </c>
      <c r="S181" s="743">
        <v>4</v>
      </c>
      <c r="U181" s="4" t="s">
        <v>749</v>
      </c>
      <c r="AJ181" s="700"/>
      <c r="AK181" s="761"/>
      <c r="AL181" s="702"/>
      <c r="AM181" s="795"/>
      <c r="AN181" s="795"/>
      <c r="AO181" s="795"/>
      <c r="AP181" s="699"/>
      <c r="AQ181" s="719"/>
    </row>
    <row r="182" spans="1:43" ht="14.25" x14ac:dyDescent="0.2">
      <c r="A182" s="641" t="s">
        <v>884</v>
      </c>
      <c r="B182" s="169">
        <v>7</v>
      </c>
      <c r="C182" s="285" t="str">
        <f t="shared" si="31"/>
        <v>-</v>
      </c>
      <c r="D182" s="739" t="str">
        <f t="shared" si="32"/>
        <v>-</v>
      </c>
      <c r="E182" s="794" t="s">
        <v>90</v>
      </c>
      <c r="F182" s="794" t="s">
        <v>90</v>
      </c>
      <c r="G182" s="794" t="s">
        <v>90</v>
      </c>
      <c r="H182" s="137" t="s">
        <v>90</v>
      </c>
      <c r="I182" s="794" t="s">
        <v>90</v>
      </c>
      <c r="J182" s="137" t="s">
        <v>90</v>
      </c>
      <c r="K182" s="786" t="s">
        <v>710</v>
      </c>
      <c r="L182" s="802">
        <f t="shared" si="33"/>
        <v>0.45</v>
      </c>
      <c r="M182" s="803">
        <f t="shared" si="34"/>
        <v>0.35</v>
      </c>
      <c r="N182" s="788">
        <f t="shared" si="35"/>
        <v>0.75</v>
      </c>
      <c r="P182" s="699" t="s">
        <v>87</v>
      </c>
      <c r="R182" s="785">
        <v>5</v>
      </c>
      <c r="S182" s="743">
        <v>5</v>
      </c>
      <c r="U182" s="4" t="s">
        <v>751</v>
      </c>
      <c r="AJ182" s="700"/>
      <c r="AK182" s="761"/>
      <c r="AL182" s="702"/>
      <c r="AM182" s="795"/>
      <c r="AN182" s="795"/>
      <c r="AO182" s="795"/>
      <c r="AP182" s="699"/>
      <c r="AQ182" s="719"/>
    </row>
    <row r="183" spans="1:43" ht="14.25" x14ac:dyDescent="0.2">
      <c r="A183" s="641" t="s">
        <v>885</v>
      </c>
      <c r="B183" s="169">
        <v>8</v>
      </c>
      <c r="C183" s="285" t="str">
        <f t="shared" si="31"/>
        <v>-</v>
      </c>
      <c r="D183" s="739" t="str">
        <f t="shared" si="32"/>
        <v>-</v>
      </c>
      <c r="E183" s="794" t="s">
        <v>90</v>
      </c>
      <c r="F183" s="794" t="s">
        <v>90</v>
      </c>
      <c r="G183" s="794" t="s">
        <v>90</v>
      </c>
      <c r="H183" s="137" t="s">
        <v>90</v>
      </c>
      <c r="I183" s="794" t="s">
        <v>90</v>
      </c>
      <c r="J183" s="137" t="s">
        <v>90</v>
      </c>
      <c r="K183" s="786" t="s">
        <v>350</v>
      </c>
      <c r="L183" s="802">
        <f t="shared" si="33"/>
        <v>0.5</v>
      </c>
      <c r="M183" s="803">
        <f t="shared" si="34"/>
        <v>0.4</v>
      </c>
      <c r="N183" s="788">
        <f t="shared" si="35"/>
        <v>0.5</v>
      </c>
      <c r="P183" s="699" t="s">
        <v>87</v>
      </c>
      <c r="R183" s="785">
        <v>6</v>
      </c>
      <c r="S183" s="743">
        <v>6</v>
      </c>
      <c r="U183" s="4" t="s">
        <v>754</v>
      </c>
      <c r="AJ183" s="700"/>
      <c r="AK183" s="761"/>
      <c r="AL183" s="702"/>
      <c r="AM183" s="795"/>
      <c r="AN183" s="795"/>
      <c r="AO183" s="795"/>
      <c r="AP183" s="699"/>
      <c r="AQ183" s="719"/>
    </row>
    <row r="184" spans="1:43" ht="14.25" x14ac:dyDescent="0.2">
      <c r="A184" s="641" t="s">
        <v>886</v>
      </c>
      <c r="B184" s="169">
        <v>9</v>
      </c>
      <c r="C184" s="285" t="str">
        <f t="shared" si="31"/>
        <v>-</v>
      </c>
      <c r="D184" s="739" t="str">
        <f t="shared" si="32"/>
        <v>-</v>
      </c>
      <c r="E184" s="794" t="s">
        <v>90</v>
      </c>
      <c r="F184" s="794" t="s">
        <v>90</v>
      </c>
      <c r="G184" s="794" t="s">
        <v>90</v>
      </c>
      <c r="H184" s="137" t="s">
        <v>90</v>
      </c>
      <c r="I184" s="794" t="s">
        <v>90</v>
      </c>
      <c r="J184" s="137" t="s">
        <v>90</v>
      </c>
      <c r="K184" s="786" t="s">
        <v>709</v>
      </c>
      <c r="L184" s="802">
        <f t="shared" si="33"/>
        <v>0.35</v>
      </c>
      <c r="M184" s="803">
        <f t="shared" si="34"/>
        <v>0.3</v>
      </c>
      <c r="N184" s="788">
        <f t="shared" si="35"/>
        <v>0.25</v>
      </c>
      <c r="P184" s="699" t="s">
        <v>87</v>
      </c>
      <c r="R184" s="785">
        <v>4</v>
      </c>
      <c r="S184" s="743">
        <v>4</v>
      </c>
      <c r="U184" s="4" t="s">
        <v>754</v>
      </c>
      <c r="AJ184" s="700"/>
      <c r="AK184" s="761"/>
      <c r="AL184" s="702"/>
      <c r="AM184" s="795"/>
      <c r="AN184" s="795"/>
      <c r="AO184" s="795"/>
      <c r="AP184" s="699"/>
      <c r="AQ184" s="719"/>
    </row>
    <row r="185" spans="1:43" ht="14.25" x14ac:dyDescent="0.2">
      <c r="A185" s="97" t="s">
        <v>887</v>
      </c>
      <c r="B185" s="162">
        <v>10</v>
      </c>
      <c r="C185" s="153" t="str">
        <f t="shared" si="31"/>
        <v>-</v>
      </c>
      <c r="D185" s="756" t="str">
        <f t="shared" si="32"/>
        <v>-</v>
      </c>
      <c r="E185" s="796" t="s">
        <v>90</v>
      </c>
      <c r="F185" s="796" t="s">
        <v>90</v>
      </c>
      <c r="G185" s="796" t="s">
        <v>90</v>
      </c>
      <c r="H185" s="139" t="s">
        <v>90</v>
      </c>
      <c r="I185" s="796" t="s">
        <v>90</v>
      </c>
      <c r="J185" s="139" t="s">
        <v>90</v>
      </c>
      <c r="K185" s="789" t="s">
        <v>709</v>
      </c>
      <c r="L185" s="804">
        <f t="shared" si="33"/>
        <v>0.35</v>
      </c>
      <c r="M185" s="805">
        <f t="shared" si="34"/>
        <v>0.3</v>
      </c>
      <c r="N185" s="791">
        <f t="shared" si="35"/>
        <v>0.25</v>
      </c>
      <c r="P185" s="699" t="s">
        <v>87</v>
      </c>
      <c r="R185" s="792">
        <v>4</v>
      </c>
      <c r="S185" s="762">
        <v>4</v>
      </c>
      <c r="U185" s="4" t="s">
        <v>754</v>
      </c>
      <c r="AJ185" s="700"/>
      <c r="AK185" s="761"/>
      <c r="AL185" s="702"/>
      <c r="AM185" s="795"/>
      <c r="AN185" s="795"/>
      <c r="AO185" s="795"/>
      <c r="AP185" s="699"/>
      <c r="AQ185" s="719"/>
    </row>
    <row r="186" spans="1:43" ht="14.25" x14ac:dyDescent="0.2">
      <c r="P186" s="699" t="s">
        <v>87</v>
      </c>
      <c r="AJ186" s="700"/>
      <c r="AK186" s="761"/>
      <c r="AL186" s="702"/>
      <c r="AM186" s="795"/>
      <c r="AN186" s="795"/>
      <c r="AO186" s="795"/>
      <c r="AP186" s="699"/>
      <c r="AQ186" s="719"/>
    </row>
    <row r="187" spans="1:43" ht="14.25" x14ac:dyDescent="0.2">
      <c r="A187" s="793" t="str">
        <f>$A$17</f>
        <v>Detailed information for</v>
      </c>
      <c r="B187" s="764"/>
      <c r="C187" s="765" t="s">
        <v>731</v>
      </c>
      <c r="D187" s="766" t="s">
        <v>732</v>
      </c>
      <c r="E187" s="767"/>
      <c r="F187" s="767"/>
      <c r="G187" s="768"/>
      <c r="H187" s="769" t="s">
        <v>733</v>
      </c>
      <c r="I187" s="770"/>
      <c r="J187" s="770"/>
      <c r="K187" s="771" t="s">
        <v>33</v>
      </c>
      <c r="L187" s="772" t="s">
        <v>734</v>
      </c>
      <c r="M187" s="770"/>
      <c r="N187" s="770"/>
      <c r="P187" s="699" t="s">
        <v>87</v>
      </c>
      <c r="R187" s="773" t="s">
        <v>735</v>
      </c>
      <c r="S187" s="770"/>
      <c r="AJ187" s="700"/>
      <c r="AK187" s="761"/>
      <c r="AL187" s="702"/>
      <c r="AM187" s="795"/>
      <c r="AN187" s="795"/>
      <c r="AO187" s="795"/>
      <c r="AP187" s="699" t="s">
        <v>87</v>
      </c>
      <c r="AQ187" s="719"/>
    </row>
    <row r="188" spans="1:43" ht="15" x14ac:dyDescent="0.25">
      <c r="A188" s="774" t="s">
        <v>888</v>
      </c>
      <c r="B188" s="799"/>
      <c r="C188" s="776" t="s">
        <v>736</v>
      </c>
      <c r="D188" s="777" t="s">
        <v>173</v>
      </c>
      <c r="E188" s="777" t="s">
        <v>737</v>
      </c>
      <c r="F188" s="777" t="s">
        <v>738</v>
      </c>
      <c r="G188" s="777" t="s">
        <v>739</v>
      </c>
      <c r="H188" s="777" t="s">
        <v>737</v>
      </c>
      <c r="I188" s="777" t="s">
        <v>738</v>
      </c>
      <c r="J188" s="777" t="s">
        <v>740</v>
      </c>
      <c r="K188" s="778" t="s">
        <v>8</v>
      </c>
      <c r="L188" s="779" t="s">
        <v>741</v>
      </c>
      <c r="M188" s="779" t="s">
        <v>742</v>
      </c>
      <c r="N188" s="780" t="s">
        <v>743</v>
      </c>
      <c r="P188" s="699" t="s">
        <v>87</v>
      </c>
      <c r="R188" s="777" t="s">
        <v>744</v>
      </c>
      <c r="S188" s="777" t="s">
        <v>745</v>
      </c>
      <c r="AJ188" s="700"/>
      <c r="AK188" s="761"/>
      <c r="AL188" s="702"/>
      <c r="AM188" s="795"/>
      <c r="AN188" s="795"/>
      <c r="AO188" s="795"/>
      <c r="AP188" s="699" t="s">
        <v>87</v>
      </c>
      <c r="AQ188" s="719"/>
    </row>
    <row r="189" spans="1:43" ht="14.25" x14ac:dyDescent="0.2">
      <c r="A189" s="662"/>
      <c r="B189" s="104">
        <v>68</v>
      </c>
      <c r="C189" s="167" t="s">
        <v>746</v>
      </c>
      <c r="D189" s="167" t="s">
        <v>747</v>
      </c>
      <c r="E189" s="167">
        <v>3</v>
      </c>
      <c r="F189" s="167">
        <v>4</v>
      </c>
      <c r="G189" s="167">
        <v>5</v>
      </c>
      <c r="H189" s="167">
        <v>6</v>
      </c>
      <c r="I189" s="167">
        <v>7</v>
      </c>
      <c r="J189" s="167">
        <v>8</v>
      </c>
      <c r="K189" s="167"/>
      <c r="L189" s="167"/>
      <c r="M189" s="167"/>
      <c r="N189" s="214"/>
      <c r="P189" s="699" t="s">
        <v>87</v>
      </c>
      <c r="R189" s="781"/>
      <c r="S189" s="106"/>
      <c r="AJ189" s="700"/>
      <c r="AK189" s="761"/>
      <c r="AL189" s="702"/>
      <c r="AM189" s="795"/>
      <c r="AN189" s="795"/>
      <c r="AO189" s="795"/>
      <c r="AP189" s="699" t="s">
        <v>87</v>
      </c>
      <c r="AQ189" s="719"/>
    </row>
    <row r="190" spans="1:43" ht="14.25" x14ac:dyDescent="0.2">
      <c r="A190" s="641" t="s">
        <v>889</v>
      </c>
      <c r="B190" s="169">
        <v>1</v>
      </c>
      <c r="C190" s="282" t="str">
        <f t="shared" ref="C190:C202" si="36">IF(OR(D190&lt;&gt;"-",I190&lt;&gt;"-"),SQRT(PRODUCT(L190,SUM(D190))^2+PRODUCT(M190,SUM(I190))^2+2*PRODUCT(N190,L190,SUM(D190),M190,SUM(I190))),"-")</f>
        <v>-</v>
      </c>
      <c r="D190" s="782" t="str">
        <f t="shared" ref="D190:D202" si="37">IF(OR(F190&lt;&gt;"-",G190&lt;&gt;"-"),MAX(SUM(F190),SUM(G190)),"-")</f>
        <v>-</v>
      </c>
      <c r="E190" s="797" t="s">
        <v>90</v>
      </c>
      <c r="F190" s="797" t="s">
        <v>90</v>
      </c>
      <c r="G190" s="797" t="s">
        <v>90</v>
      </c>
      <c r="H190" s="149" t="s">
        <v>90</v>
      </c>
      <c r="I190" s="797" t="s">
        <v>90</v>
      </c>
      <c r="J190" s="149" t="s">
        <v>90</v>
      </c>
      <c r="K190" s="783" t="s">
        <v>709</v>
      </c>
      <c r="L190" s="800">
        <f t="shared" ref="L190:L202" si="38">IFERROR(INDEX(ICS.NL.Buckets.P,R190),"-")</f>
        <v>0.35</v>
      </c>
      <c r="M190" s="801">
        <f t="shared" ref="M190:M202" si="39">IFERROR(INDEX(ICS.NL.Buckets.R,S190),"-")</f>
        <v>0.5</v>
      </c>
      <c r="N190" s="798">
        <f t="shared" ref="N190:N202" si="40">IFERROR(INDEX(ICS.NL.Corr.P_R,MATCH(K190,ICS.NL.CategMapping,0)),1)</f>
        <v>0.25</v>
      </c>
      <c r="P190" s="699" t="s">
        <v>87</v>
      </c>
      <c r="R190" s="785">
        <v>4</v>
      </c>
      <c r="S190" s="743">
        <v>8</v>
      </c>
      <c r="U190" s="4" t="s">
        <v>749</v>
      </c>
      <c r="AJ190" s="700"/>
      <c r="AK190" s="761"/>
      <c r="AL190" s="702"/>
      <c r="AM190" s="795"/>
      <c r="AN190" s="795"/>
      <c r="AO190" s="795"/>
      <c r="AP190" s="699" t="s">
        <v>87</v>
      </c>
      <c r="AQ190" s="719"/>
    </row>
    <row r="191" spans="1:43" ht="14.25" x14ac:dyDescent="0.2">
      <c r="A191" s="641" t="s">
        <v>890</v>
      </c>
      <c r="B191" s="169">
        <v>2</v>
      </c>
      <c r="C191" s="285" t="str">
        <f t="shared" si="36"/>
        <v>-</v>
      </c>
      <c r="D191" s="739" t="str">
        <f t="shared" si="37"/>
        <v>-</v>
      </c>
      <c r="E191" s="794" t="s">
        <v>90</v>
      </c>
      <c r="F191" s="794" t="s">
        <v>90</v>
      </c>
      <c r="G191" s="794" t="s">
        <v>90</v>
      </c>
      <c r="H191" s="137" t="s">
        <v>90</v>
      </c>
      <c r="I191" s="794" t="s">
        <v>90</v>
      </c>
      <c r="J191" s="137" t="s">
        <v>90</v>
      </c>
      <c r="K191" s="786" t="s">
        <v>709</v>
      </c>
      <c r="L191" s="802">
        <f t="shared" si="38"/>
        <v>0.45</v>
      </c>
      <c r="M191" s="803">
        <f t="shared" si="39"/>
        <v>0.5</v>
      </c>
      <c r="N191" s="788">
        <f t="shared" si="40"/>
        <v>0.25</v>
      </c>
      <c r="P191" s="699" t="s">
        <v>87</v>
      </c>
      <c r="R191" s="785">
        <v>5</v>
      </c>
      <c r="S191" s="743">
        <v>8</v>
      </c>
      <c r="U191" s="4" t="s">
        <v>749</v>
      </c>
      <c r="AJ191" s="700"/>
      <c r="AK191" s="761"/>
      <c r="AL191" s="702"/>
      <c r="AM191" s="795"/>
      <c r="AN191" s="795"/>
      <c r="AO191" s="795"/>
      <c r="AP191" s="699" t="s">
        <v>87</v>
      </c>
      <c r="AQ191" s="719"/>
    </row>
    <row r="192" spans="1:43" ht="14.25" x14ac:dyDescent="0.2">
      <c r="A192" s="641" t="s">
        <v>891</v>
      </c>
      <c r="B192" s="169">
        <v>3</v>
      </c>
      <c r="C192" s="285" t="str">
        <f t="shared" si="36"/>
        <v>-</v>
      </c>
      <c r="D192" s="739" t="str">
        <f t="shared" si="37"/>
        <v>-</v>
      </c>
      <c r="E192" s="794" t="s">
        <v>90</v>
      </c>
      <c r="F192" s="794" t="s">
        <v>90</v>
      </c>
      <c r="G192" s="794" t="s">
        <v>90</v>
      </c>
      <c r="H192" s="137" t="s">
        <v>90</v>
      </c>
      <c r="I192" s="794" t="s">
        <v>90</v>
      </c>
      <c r="J192" s="137" t="s">
        <v>90</v>
      </c>
      <c r="K192" s="786" t="s">
        <v>709</v>
      </c>
      <c r="L192" s="802">
        <f t="shared" si="38"/>
        <v>0.55000000000000004</v>
      </c>
      <c r="M192" s="803">
        <f t="shared" si="39"/>
        <v>0.5</v>
      </c>
      <c r="N192" s="788">
        <f t="shared" si="40"/>
        <v>0.25</v>
      </c>
      <c r="P192" s="699" t="s">
        <v>87</v>
      </c>
      <c r="R192" s="785">
        <v>7</v>
      </c>
      <c r="S192" s="743">
        <v>8</v>
      </c>
      <c r="U192" s="4" t="s">
        <v>754</v>
      </c>
      <c r="AJ192" s="700"/>
      <c r="AK192" s="761"/>
      <c r="AL192" s="702"/>
      <c r="AM192" s="795"/>
      <c r="AN192" s="795"/>
      <c r="AO192" s="795"/>
      <c r="AP192" s="699" t="s">
        <v>87</v>
      </c>
      <c r="AQ192" s="719"/>
    </row>
    <row r="193" spans="1:43" ht="14.25" x14ac:dyDescent="0.2">
      <c r="A193" s="641" t="s">
        <v>892</v>
      </c>
      <c r="B193" s="169">
        <v>4</v>
      </c>
      <c r="C193" s="285" t="str">
        <f t="shared" si="36"/>
        <v>-</v>
      </c>
      <c r="D193" s="739" t="str">
        <f t="shared" si="37"/>
        <v>-</v>
      </c>
      <c r="E193" s="794" t="s">
        <v>90</v>
      </c>
      <c r="F193" s="794" t="s">
        <v>90</v>
      </c>
      <c r="G193" s="794" t="s">
        <v>90</v>
      </c>
      <c r="H193" s="137" t="s">
        <v>90</v>
      </c>
      <c r="I193" s="794" t="s">
        <v>90</v>
      </c>
      <c r="J193" s="137" t="s">
        <v>90</v>
      </c>
      <c r="K193" s="786" t="s">
        <v>350</v>
      </c>
      <c r="L193" s="802">
        <f t="shared" si="38"/>
        <v>0.35</v>
      </c>
      <c r="M193" s="803">
        <f t="shared" si="39"/>
        <v>0.5</v>
      </c>
      <c r="N193" s="788">
        <f t="shared" si="40"/>
        <v>0.5</v>
      </c>
      <c r="P193" s="699" t="s">
        <v>87</v>
      </c>
      <c r="R193" s="785">
        <v>4</v>
      </c>
      <c r="S193" s="743">
        <v>8</v>
      </c>
      <c r="U193" s="4" t="s">
        <v>749</v>
      </c>
      <c r="AJ193" s="700"/>
      <c r="AK193" s="761"/>
      <c r="AL193" s="702"/>
      <c r="AM193" s="795"/>
      <c r="AN193" s="795"/>
      <c r="AO193" s="795"/>
      <c r="AP193" s="699" t="s">
        <v>87</v>
      </c>
      <c r="AQ193" s="719"/>
    </row>
    <row r="194" spans="1:43" ht="14.25" x14ac:dyDescent="0.2">
      <c r="A194" s="641" t="s">
        <v>893</v>
      </c>
      <c r="B194" s="169">
        <v>5</v>
      </c>
      <c r="C194" s="285" t="str">
        <f t="shared" si="36"/>
        <v>-</v>
      </c>
      <c r="D194" s="739" t="str">
        <f t="shared" si="37"/>
        <v>-</v>
      </c>
      <c r="E194" s="794" t="s">
        <v>90</v>
      </c>
      <c r="F194" s="794" t="s">
        <v>90</v>
      </c>
      <c r="G194" s="794" t="s">
        <v>90</v>
      </c>
      <c r="H194" s="137" t="s">
        <v>90</v>
      </c>
      <c r="I194" s="794" t="s">
        <v>90</v>
      </c>
      <c r="J194" s="137" t="s">
        <v>90</v>
      </c>
      <c r="K194" s="786" t="s">
        <v>710</v>
      </c>
      <c r="L194" s="802">
        <f t="shared" si="38"/>
        <v>0.15</v>
      </c>
      <c r="M194" s="803">
        <f t="shared" si="39"/>
        <v>0.3</v>
      </c>
      <c r="N194" s="788">
        <f t="shared" si="40"/>
        <v>0.75</v>
      </c>
      <c r="P194" s="699" t="s">
        <v>87</v>
      </c>
      <c r="R194" s="785">
        <v>1</v>
      </c>
      <c r="S194" s="743">
        <v>4</v>
      </c>
      <c r="U194" s="4" t="s">
        <v>751</v>
      </c>
      <c r="AJ194" s="700"/>
      <c r="AK194" s="761"/>
      <c r="AL194" s="702"/>
      <c r="AM194" s="795"/>
      <c r="AN194" s="795"/>
      <c r="AO194" s="795"/>
      <c r="AP194" s="699" t="s">
        <v>87</v>
      </c>
      <c r="AQ194" s="719"/>
    </row>
    <row r="195" spans="1:43" ht="14.25" x14ac:dyDescent="0.2">
      <c r="A195" s="641" t="s">
        <v>894</v>
      </c>
      <c r="B195" s="169">
        <v>6</v>
      </c>
      <c r="C195" s="285" t="str">
        <f t="shared" si="36"/>
        <v>-</v>
      </c>
      <c r="D195" s="739" t="str">
        <f t="shared" si="37"/>
        <v>-</v>
      </c>
      <c r="E195" s="794" t="s">
        <v>90</v>
      </c>
      <c r="F195" s="794" t="s">
        <v>90</v>
      </c>
      <c r="G195" s="794" t="s">
        <v>90</v>
      </c>
      <c r="H195" s="137" t="s">
        <v>90</v>
      </c>
      <c r="I195" s="794" t="s">
        <v>90</v>
      </c>
      <c r="J195" s="137" t="s">
        <v>90</v>
      </c>
      <c r="K195" s="786" t="s">
        <v>350</v>
      </c>
      <c r="L195" s="802">
        <f t="shared" si="38"/>
        <v>0.15</v>
      </c>
      <c r="M195" s="803">
        <f t="shared" si="39"/>
        <v>0.1</v>
      </c>
      <c r="N195" s="788">
        <f t="shared" si="40"/>
        <v>0.5</v>
      </c>
      <c r="P195" s="699" t="s">
        <v>87</v>
      </c>
      <c r="R195" s="785">
        <v>1</v>
      </c>
      <c r="S195" s="743">
        <v>1</v>
      </c>
      <c r="U195" s="4" t="s">
        <v>754</v>
      </c>
      <c r="AJ195" s="700"/>
      <c r="AK195" s="761"/>
      <c r="AL195" s="702"/>
      <c r="AM195" s="795"/>
      <c r="AN195" s="795"/>
      <c r="AO195" s="795"/>
      <c r="AP195" s="699" t="s">
        <v>87</v>
      </c>
      <c r="AQ195" s="719"/>
    </row>
    <row r="196" spans="1:43" ht="14.25" x14ac:dyDescent="0.2">
      <c r="A196" s="641" t="s">
        <v>895</v>
      </c>
      <c r="B196" s="169">
        <v>7</v>
      </c>
      <c r="C196" s="285" t="str">
        <f t="shared" si="36"/>
        <v>-</v>
      </c>
      <c r="D196" s="739" t="str">
        <f t="shared" si="37"/>
        <v>-</v>
      </c>
      <c r="E196" s="794" t="s">
        <v>90</v>
      </c>
      <c r="F196" s="794" t="s">
        <v>90</v>
      </c>
      <c r="G196" s="794" t="s">
        <v>90</v>
      </c>
      <c r="H196" s="137" t="s">
        <v>90</v>
      </c>
      <c r="I196" s="794" t="s">
        <v>90</v>
      </c>
      <c r="J196" s="137" t="s">
        <v>90</v>
      </c>
      <c r="K196" s="786" t="s">
        <v>707</v>
      </c>
      <c r="L196" s="802">
        <f t="shared" si="38"/>
        <v>0.7</v>
      </c>
      <c r="M196" s="803">
        <f t="shared" si="39"/>
        <v>0.5</v>
      </c>
      <c r="N196" s="788">
        <f t="shared" si="40"/>
        <v>0.75</v>
      </c>
      <c r="P196" s="699" t="s">
        <v>87</v>
      </c>
      <c r="R196" s="785">
        <v>8</v>
      </c>
      <c r="S196" s="743">
        <v>8</v>
      </c>
      <c r="U196" s="4" t="s">
        <v>754</v>
      </c>
      <c r="AJ196" s="700"/>
      <c r="AK196" s="761"/>
      <c r="AL196" s="702"/>
      <c r="AM196" s="795"/>
      <c r="AN196" s="795"/>
      <c r="AO196" s="795"/>
      <c r="AP196" s="699" t="s">
        <v>87</v>
      </c>
      <c r="AQ196" s="719"/>
    </row>
    <row r="197" spans="1:43" ht="14.25" x14ac:dyDescent="0.2">
      <c r="A197" s="641" t="s">
        <v>896</v>
      </c>
      <c r="B197" s="169">
        <v>8</v>
      </c>
      <c r="C197" s="285" t="str">
        <f t="shared" si="36"/>
        <v>-</v>
      </c>
      <c r="D197" s="739" t="str">
        <f t="shared" si="37"/>
        <v>-</v>
      </c>
      <c r="E197" s="794" t="s">
        <v>90</v>
      </c>
      <c r="F197" s="794" t="s">
        <v>90</v>
      </c>
      <c r="G197" s="794" t="s">
        <v>90</v>
      </c>
      <c r="H197" s="137" t="s">
        <v>90</v>
      </c>
      <c r="I197" s="794" t="s">
        <v>90</v>
      </c>
      <c r="J197" s="137" t="s">
        <v>90</v>
      </c>
      <c r="K197" s="806" t="s">
        <v>350</v>
      </c>
      <c r="L197" s="802">
        <f t="shared" si="38"/>
        <v>0.5</v>
      </c>
      <c r="M197" s="803">
        <f t="shared" si="39"/>
        <v>0.5</v>
      </c>
      <c r="N197" s="788">
        <f t="shared" si="40"/>
        <v>0.5</v>
      </c>
      <c r="P197" s="699" t="s">
        <v>87</v>
      </c>
      <c r="R197" s="785">
        <v>6</v>
      </c>
      <c r="S197" s="743">
        <v>8</v>
      </c>
      <c r="U197" s="4" t="s">
        <v>754</v>
      </c>
      <c r="AJ197" s="700"/>
      <c r="AK197" s="761"/>
      <c r="AL197" s="702"/>
      <c r="AM197" s="795"/>
      <c r="AN197" s="795"/>
      <c r="AO197" s="795"/>
      <c r="AP197" s="699" t="s">
        <v>87</v>
      </c>
      <c r="AQ197" s="719"/>
    </row>
    <row r="198" spans="1:43" ht="14.25" x14ac:dyDescent="0.2">
      <c r="A198" s="641" t="s">
        <v>897</v>
      </c>
      <c r="B198" s="169">
        <v>9</v>
      </c>
      <c r="C198" s="285" t="str">
        <f t="shared" si="36"/>
        <v>-</v>
      </c>
      <c r="D198" s="739" t="str">
        <f t="shared" si="37"/>
        <v>-</v>
      </c>
      <c r="E198" s="794" t="s">
        <v>90</v>
      </c>
      <c r="F198" s="794" t="s">
        <v>90</v>
      </c>
      <c r="G198" s="794" t="s">
        <v>90</v>
      </c>
      <c r="H198" s="137" t="s">
        <v>90</v>
      </c>
      <c r="I198" s="794" t="s">
        <v>90</v>
      </c>
      <c r="J198" s="137" t="s">
        <v>90</v>
      </c>
      <c r="K198" s="786" t="s">
        <v>710</v>
      </c>
      <c r="L198" s="802">
        <f t="shared" si="38"/>
        <v>0.25</v>
      </c>
      <c r="M198" s="803">
        <f t="shared" si="39"/>
        <v>0.25</v>
      </c>
      <c r="N198" s="788">
        <f t="shared" si="40"/>
        <v>0.75</v>
      </c>
      <c r="P198" s="699" t="s">
        <v>87</v>
      </c>
      <c r="R198" s="785">
        <v>2</v>
      </c>
      <c r="S198" s="743">
        <v>3</v>
      </c>
      <c r="U198" s="4" t="s">
        <v>754</v>
      </c>
      <c r="AJ198" s="700"/>
      <c r="AK198" s="761"/>
      <c r="AL198" s="702"/>
      <c r="AM198" s="795"/>
      <c r="AN198" s="795"/>
      <c r="AO198" s="795"/>
      <c r="AP198" s="699"/>
      <c r="AQ198" s="719"/>
    </row>
    <row r="199" spans="1:43" ht="14.25" x14ac:dyDescent="0.2">
      <c r="A199" s="641" t="s">
        <v>898</v>
      </c>
      <c r="B199" s="169">
        <v>10</v>
      </c>
      <c r="C199" s="285" t="str">
        <f t="shared" si="36"/>
        <v>-</v>
      </c>
      <c r="D199" s="739" t="str">
        <f t="shared" si="37"/>
        <v>-</v>
      </c>
      <c r="E199" s="794" t="s">
        <v>90</v>
      </c>
      <c r="F199" s="794" t="s">
        <v>90</v>
      </c>
      <c r="G199" s="794" t="s">
        <v>90</v>
      </c>
      <c r="H199" s="137" t="s">
        <v>90</v>
      </c>
      <c r="I199" s="794" t="s">
        <v>90</v>
      </c>
      <c r="J199" s="137" t="s">
        <v>90</v>
      </c>
      <c r="K199" s="786" t="s">
        <v>709</v>
      </c>
      <c r="L199" s="802">
        <f t="shared" si="38"/>
        <v>0.25</v>
      </c>
      <c r="M199" s="803">
        <f t="shared" si="39"/>
        <v>0.25</v>
      </c>
      <c r="N199" s="788">
        <f t="shared" si="40"/>
        <v>0.25</v>
      </c>
      <c r="P199" s="699" t="s">
        <v>87</v>
      </c>
      <c r="R199" s="785">
        <v>2</v>
      </c>
      <c r="S199" s="743">
        <v>3</v>
      </c>
      <c r="U199" s="4" t="s">
        <v>749</v>
      </c>
      <c r="AJ199" s="700"/>
      <c r="AK199" s="761"/>
      <c r="AL199" s="702"/>
      <c r="AM199" s="795"/>
      <c r="AN199" s="795"/>
      <c r="AO199" s="795"/>
      <c r="AP199" s="699"/>
      <c r="AQ199" s="719"/>
    </row>
    <row r="200" spans="1:43" ht="14.25" x14ac:dyDescent="0.2">
      <c r="A200" s="641" t="s">
        <v>899</v>
      </c>
      <c r="B200" s="169">
        <v>11</v>
      </c>
      <c r="C200" s="285" t="str">
        <f t="shared" si="36"/>
        <v>-</v>
      </c>
      <c r="D200" s="739" t="str">
        <f t="shared" si="37"/>
        <v>-</v>
      </c>
      <c r="E200" s="794" t="s">
        <v>90</v>
      </c>
      <c r="F200" s="794" t="s">
        <v>90</v>
      </c>
      <c r="G200" s="794" t="s">
        <v>90</v>
      </c>
      <c r="H200" s="137" t="s">
        <v>90</v>
      </c>
      <c r="I200" s="794" t="s">
        <v>90</v>
      </c>
      <c r="J200" s="137" t="s">
        <v>90</v>
      </c>
      <c r="K200" s="786" t="s">
        <v>710</v>
      </c>
      <c r="L200" s="802">
        <f t="shared" si="38"/>
        <v>0.25</v>
      </c>
      <c r="M200" s="803">
        <f t="shared" si="39"/>
        <v>0.25</v>
      </c>
      <c r="N200" s="788">
        <f t="shared" si="40"/>
        <v>0.75</v>
      </c>
      <c r="P200" s="699" t="s">
        <v>87</v>
      </c>
      <c r="R200" s="785">
        <v>2</v>
      </c>
      <c r="S200" s="743">
        <v>3</v>
      </c>
      <c r="U200" s="4" t="s">
        <v>754</v>
      </c>
      <c r="AJ200" s="700"/>
      <c r="AK200" s="761"/>
      <c r="AL200" s="702"/>
      <c r="AM200" s="795"/>
      <c r="AN200" s="795"/>
      <c r="AO200" s="795"/>
      <c r="AP200" s="699"/>
      <c r="AQ200" s="719"/>
    </row>
    <row r="201" spans="1:43" ht="14.25" x14ac:dyDescent="0.2">
      <c r="A201" s="641" t="s">
        <v>900</v>
      </c>
      <c r="B201" s="169">
        <v>12</v>
      </c>
      <c r="C201" s="285" t="str">
        <f t="shared" si="36"/>
        <v>-</v>
      </c>
      <c r="D201" s="739" t="str">
        <f t="shared" si="37"/>
        <v>-</v>
      </c>
      <c r="E201" s="794" t="s">
        <v>90</v>
      </c>
      <c r="F201" s="794" t="s">
        <v>90</v>
      </c>
      <c r="G201" s="794" t="s">
        <v>90</v>
      </c>
      <c r="H201" s="137" t="s">
        <v>90</v>
      </c>
      <c r="I201" s="794" t="s">
        <v>90</v>
      </c>
      <c r="J201" s="137" t="s">
        <v>90</v>
      </c>
      <c r="K201" s="786" t="s">
        <v>709</v>
      </c>
      <c r="L201" s="802">
        <f t="shared" si="38"/>
        <v>0.25</v>
      </c>
      <c r="M201" s="803">
        <f t="shared" si="39"/>
        <v>0.25</v>
      </c>
      <c r="N201" s="788">
        <f t="shared" si="40"/>
        <v>0.25</v>
      </c>
      <c r="P201" s="699" t="s">
        <v>87</v>
      </c>
      <c r="R201" s="785">
        <v>2</v>
      </c>
      <c r="S201" s="743">
        <v>3</v>
      </c>
      <c r="U201" s="4" t="s">
        <v>749</v>
      </c>
      <c r="AJ201" s="700"/>
      <c r="AK201" s="761"/>
      <c r="AL201" s="702"/>
      <c r="AM201" s="795"/>
      <c r="AN201" s="795"/>
      <c r="AO201" s="795"/>
      <c r="AP201" s="699"/>
      <c r="AQ201" s="719"/>
    </row>
    <row r="202" spans="1:43" ht="14.25" x14ac:dyDescent="0.2">
      <c r="A202" s="97" t="s">
        <v>901</v>
      </c>
      <c r="B202" s="162">
        <v>13</v>
      </c>
      <c r="C202" s="153" t="str">
        <f t="shared" si="36"/>
        <v>-</v>
      </c>
      <c r="D202" s="756" t="str">
        <f t="shared" si="37"/>
        <v>-</v>
      </c>
      <c r="E202" s="796" t="s">
        <v>90</v>
      </c>
      <c r="F202" s="796" t="s">
        <v>90</v>
      </c>
      <c r="G202" s="796" t="s">
        <v>90</v>
      </c>
      <c r="H202" s="139" t="s">
        <v>90</v>
      </c>
      <c r="I202" s="796" t="s">
        <v>90</v>
      </c>
      <c r="J202" s="139" t="s">
        <v>90</v>
      </c>
      <c r="K202" s="807" t="s">
        <v>350</v>
      </c>
      <c r="L202" s="804">
        <f t="shared" si="38"/>
        <v>0.15</v>
      </c>
      <c r="M202" s="805">
        <f t="shared" si="39"/>
        <v>0.25</v>
      </c>
      <c r="N202" s="791">
        <f t="shared" si="40"/>
        <v>0.5</v>
      </c>
      <c r="P202" s="699" t="s">
        <v>87</v>
      </c>
      <c r="R202" s="792">
        <v>1</v>
      </c>
      <c r="S202" s="762">
        <v>3</v>
      </c>
      <c r="U202" s="4" t="s">
        <v>754</v>
      </c>
      <c r="AJ202" s="700"/>
      <c r="AK202" s="761"/>
      <c r="AL202" s="702"/>
      <c r="AM202" s="795"/>
      <c r="AN202" s="795"/>
      <c r="AO202" s="795"/>
      <c r="AP202" s="699" t="s">
        <v>87</v>
      </c>
      <c r="AQ202" s="719"/>
    </row>
    <row r="203" spans="1:43" ht="14.25" x14ac:dyDescent="0.2">
      <c r="P203" s="699" t="s">
        <v>87</v>
      </c>
      <c r="AJ203" s="700"/>
      <c r="AK203" s="761"/>
      <c r="AL203" s="702"/>
      <c r="AM203" s="795"/>
      <c r="AN203" s="795"/>
      <c r="AO203" s="795"/>
      <c r="AP203" s="699" t="s">
        <v>87</v>
      </c>
      <c r="AQ203" s="719"/>
    </row>
    <row r="204" spans="1:43" ht="14.25" x14ac:dyDescent="0.2">
      <c r="A204" s="793" t="str">
        <f>$A$17</f>
        <v>Detailed information for</v>
      </c>
      <c r="B204" s="764"/>
      <c r="C204" s="765" t="s">
        <v>731</v>
      </c>
      <c r="D204" s="766" t="s">
        <v>732</v>
      </c>
      <c r="E204" s="767"/>
      <c r="F204" s="767"/>
      <c r="G204" s="768"/>
      <c r="H204" s="769" t="s">
        <v>733</v>
      </c>
      <c r="I204" s="770"/>
      <c r="J204" s="770"/>
      <c r="K204" s="771" t="s">
        <v>33</v>
      </c>
      <c r="L204" s="772" t="s">
        <v>734</v>
      </c>
      <c r="M204" s="770"/>
      <c r="N204" s="770"/>
      <c r="P204" s="699" t="s">
        <v>87</v>
      </c>
      <c r="R204" s="773" t="s">
        <v>735</v>
      </c>
      <c r="S204" s="770"/>
      <c r="AJ204" s="700"/>
      <c r="AK204" s="761"/>
      <c r="AL204" s="702"/>
      <c r="AM204" s="795"/>
      <c r="AN204" s="795"/>
      <c r="AO204" s="795"/>
      <c r="AP204" s="699" t="s">
        <v>87</v>
      </c>
      <c r="AQ204" s="719"/>
    </row>
    <row r="205" spans="1:43" ht="15" x14ac:dyDescent="0.25">
      <c r="A205" s="774" t="s">
        <v>902</v>
      </c>
      <c r="B205" s="775"/>
      <c r="C205" s="776" t="s">
        <v>736</v>
      </c>
      <c r="D205" s="777" t="s">
        <v>173</v>
      </c>
      <c r="E205" s="777" t="s">
        <v>737</v>
      </c>
      <c r="F205" s="777" t="s">
        <v>738</v>
      </c>
      <c r="G205" s="777" t="s">
        <v>739</v>
      </c>
      <c r="H205" s="777" t="s">
        <v>737</v>
      </c>
      <c r="I205" s="777" t="s">
        <v>738</v>
      </c>
      <c r="J205" s="777" t="s">
        <v>740</v>
      </c>
      <c r="K205" s="778" t="s">
        <v>8</v>
      </c>
      <c r="L205" s="779" t="s">
        <v>741</v>
      </c>
      <c r="M205" s="779" t="s">
        <v>742</v>
      </c>
      <c r="N205" s="780" t="s">
        <v>743</v>
      </c>
      <c r="P205" s="699" t="s">
        <v>87</v>
      </c>
      <c r="R205" s="777" t="s">
        <v>744</v>
      </c>
      <c r="S205" s="777" t="s">
        <v>745</v>
      </c>
      <c r="AJ205" s="700"/>
      <c r="AK205" s="761"/>
      <c r="AL205" s="702"/>
      <c r="AM205" s="795"/>
      <c r="AN205" s="795"/>
      <c r="AO205" s="795"/>
      <c r="AP205" s="699" t="s">
        <v>87</v>
      </c>
      <c r="AQ205" s="719"/>
    </row>
    <row r="206" spans="1:43" ht="14.25" x14ac:dyDescent="0.2">
      <c r="A206" s="662"/>
      <c r="B206" s="104">
        <v>69</v>
      </c>
      <c r="C206" s="167" t="s">
        <v>746</v>
      </c>
      <c r="D206" s="167" t="s">
        <v>747</v>
      </c>
      <c r="E206" s="167">
        <v>3</v>
      </c>
      <c r="F206" s="167">
        <v>4</v>
      </c>
      <c r="G206" s="167">
        <v>5</v>
      </c>
      <c r="H206" s="167">
        <v>6</v>
      </c>
      <c r="I206" s="167">
        <v>7</v>
      </c>
      <c r="J206" s="167">
        <v>8</v>
      </c>
      <c r="K206" s="167"/>
      <c r="L206" s="167"/>
      <c r="M206" s="167"/>
      <c r="N206" s="214"/>
      <c r="P206" s="699" t="s">
        <v>87</v>
      </c>
      <c r="R206" s="781"/>
      <c r="S206" s="106"/>
      <c r="AJ206" s="700"/>
      <c r="AK206" s="761"/>
      <c r="AL206" s="702"/>
      <c r="AM206" s="795"/>
      <c r="AN206" s="795"/>
      <c r="AO206" s="795"/>
      <c r="AP206" s="699" t="s">
        <v>87</v>
      </c>
      <c r="AQ206" s="719"/>
    </row>
    <row r="207" spans="1:43" ht="14.25" x14ac:dyDescent="0.2">
      <c r="A207" s="641" t="s">
        <v>811</v>
      </c>
      <c r="B207" s="169">
        <v>1</v>
      </c>
      <c r="C207" s="282" t="str">
        <f t="shared" ref="C207:C221" si="41">IF(OR(D207&lt;&gt;"-",I207&lt;&gt;"-"),SQRT(PRODUCT(L207,SUM(D207))^2+PRODUCT(M207,SUM(I207))^2+2*PRODUCT(N207,L207,SUM(D207),M207,SUM(I207))),"-")</f>
        <v>-</v>
      </c>
      <c r="D207" s="782" t="str">
        <f t="shared" ref="D207:D221" si="42">IF(OR(F207&lt;&gt;"-",G207&lt;&gt;"-"),MAX(SUM(F207),SUM(G207)),"-")</f>
        <v>-</v>
      </c>
      <c r="E207" s="797" t="s">
        <v>90</v>
      </c>
      <c r="F207" s="797" t="s">
        <v>90</v>
      </c>
      <c r="G207" s="797" t="s">
        <v>90</v>
      </c>
      <c r="H207" s="149" t="s">
        <v>90</v>
      </c>
      <c r="I207" s="149" t="s">
        <v>90</v>
      </c>
      <c r="J207" s="149" t="s">
        <v>90</v>
      </c>
      <c r="K207" s="783" t="s">
        <v>350</v>
      </c>
      <c r="L207" s="798">
        <f t="shared" ref="L207:L221" si="43">IFERROR(INDEX(ICS.NL.Buckets.P,R207),"-")</f>
        <v>0.25</v>
      </c>
      <c r="M207" s="798">
        <f t="shared" ref="M207:M221" si="44">IFERROR(INDEX(ICS.NL.Buckets.R,S207),"-")</f>
        <v>0.2</v>
      </c>
      <c r="N207" s="798">
        <f t="shared" ref="N207:N221" si="45">IFERROR(INDEX(ICS.NL.Corr.P_R,MATCH(K207,ICS.NL.CategMapping,0)),1)</f>
        <v>0.5</v>
      </c>
      <c r="P207" s="699" t="s">
        <v>87</v>
      </c>
      <c r="R207" s="785">
        <v>2</v>
      </c>
      <c r="S207" s="743">
        <v>2</v>
      </c>
      <c r="U207" s="4" t="s">
        <v>749</v>
      </c>
      <c r="AJ207" s="700"/>
      <c r="AK207" s="761"/>
      <c r="AL207" s="702"/>
      <c r="AM207" s="795"/>
      <c r="AN207" s="795"/>
      <c r="AO207" s="795"/>
      <c r="AP207" s="699" t="s">
        <v>87</v>
      </c>
      <c r="AQ207" s="719"/>
    </row>
    <row r="208" spans="1:43" ht="14.25" x14ac:dyDescent="0.2">
      <c r="A208" s="641" t="s">
        <v>903</v>
      </c>
      <c r="B208" s="169">
        <v>2</v>
      </c>
      <c r="C208" s="285" t="str">
        <f t="shared" si="41"/>
        <v>-</v>
      </c>
      <c r="D208" s="739" t="str">
        <f t="shared" si="42"/>
        <v>-</v>
      </c>
      <c r="E208" s="794" t="s">
        <v>90</v>
      </c>
      <c r="F208" s="794" t="s">
        <v>90</v>
      </c>
      <c r="G208" s="794" t="s">
        <v>90</v>
      </c>
      <c r="H208" s="137" t="s">
        <v>90</v>
      </c>
      <c r="I208" s="137" t="s">
        <v>90</v>
      </c>
      <c r="J208" s="137" t="s">
        <v>90</v>
      </c>
      <c r="K208" s="786" t="s">
        <v>350</v>
      </c>
      <c r="L208" s="788">
        <f t="shared" si="43"/>
        <v>0.25</v>
      </c>
      <c r="M208" s="788">
        <f t="shared" si="44"/>
        <v>0.2</v>
      </c>
      <c r="N208" s="788">
        <f t="shared" si="45"/>
        <v>0.5</v>
      </c>
      <c r="P208" s="699" t="s">
        <v>87</v>
      </c>
      <c r="R208" s="785">
        <v>2</v>
      </c>
      <c r="S208" s="743">
        <v>2</v>
      </c>
      <c r="U208" s="4" t="s">
        <v>749</v>
      </c>
      <c r="AJ208" s="700"/>
      <c r="AK208" s="761"/>
      <c r="AL208" s="702"/>
      <c r="AM208" s="795"/>
      <c r="AN208" s="795"/>
      <c r="AO208" s="795"/>
      <c r="AP208" s="699" t="s">
        <v>87</v>
      </c>
      <c r="AQ208" s="719"/>
    </row>
    <row r="209" spans="1:43" ht="14.25" x14ac:dyDescent="0.2">
      <c r="A209" s="641" t="s">
        <v>807</v>
      </c>
      <c r="B209" s="169">
        <v>3</v>
      </c>
      <c r="C209" s="285" t="str">
        <f t="shared" si="41"/>
        <v>-</v>
      </c>
      <c r="D209" s="739" t="str">
        <f t="shared" si="42"/>
        <v>-</v>
      </c>
      <c r="E209" s="794" t="s">
        <v>90</v>
      </c>
      <c r="F209" s="794" t="s">
        <v>90</v>
      </c>
      <c r="G209" s="794" t="s">
        <v>90</v>
      </c>
      <c r="H209" s="137" t="s">
        <v>90</v>
      </c>
      <c r="I209" s="137" t="s">
        <v>90</v>
      </c>
      <c r="J209" s="137" t="s">
        <v>90</v>
      </c>
      <c r="K209" s="786" t="s">
        <v>709</v>
      </c>
      <c r="L209" s="788">
        <f t="shared" si="43"/>
        <v>0.25</v>
      </c>
      <c r="M209" s="788">
        <f t="shared" si="44"/>
        <v>0.2</v>
      </c>
      <c r="N209" s="788">
        <f t="shared" si="45"/>
        <v>0.25</v>
      </c>
      <c r="P209" s="699" t="s">
        <v>87</v>
      </c>
      <c r="R209" s="785">
        <v>2</v>
      </c>
      <c r="S209" s="743">
        <v>2</v>
      </c>
      <c r="U209" s="4" t="s">
        <v>749</v>
      </c>
      <c r="AJ209" s="700"/>
      <c r="AK209" s="761"/>
      <c r="AL209" s="702"/>
      <c r="AM209" s="795"/>
      <c r="AN209" s="795"/>
      <c r="AO209" s="795"/>
      <c r="AP209" s="699" t="s">
        <v>87</v>
      </c>
      <c r="AQ209" s="719"/>
    </row>
    <row r="210" spans="1:43" ht="14.25" x14ac:dyDescent="0.2">
      <c r="A210" s="641" t="s">
        <v>904</v>
      </c>
      <c r="B210" s="169">
        <v>4</v>
      </c>
      <c r="C210" s="285" t="str">
        <f t="shared" si="41"/>
        <v>-</v>
      </c>
      <c r="D210" s="739" t="str">
        <f t="shared" si="42"/>
        <v>-</v>
      </c>
      <c r="E210" s="794" t="s">
        <v>90</v>
      </c>
      <c r="F210" s="794" t="s">
        <v>90</v>
      </c>
      <c r="G210" s="794" t="s">
        <v>90</v>
      </c>
      <c r="H210" s="137" t="s">
        <v>90</v>
      </c>
      <c r="I210" s="794" t="s">
        <v>90</v>
      </c>
      <c r="J210" s="137" t="s">
        <v>90</v>
      </c>
      <c r="K210" s="786" t="s">
        <v>709</v>
      </c>
      <c r="L210" s="788">
        <f t="shared" si="43"/>
        <v>0.3</v>
      </c>
      <c r="M210" s="788">
        <f t="shared" si="44"/>
        <v>0.25</v>
      </c>
      <c r="N210" s="788">
        <f t="shared" si="45"/>
        <v>0.25</v>
      </c>
      <c r="P210" s="699" t="s">
        <v>87</v>
      </c>
      <c r="R210" s="785">
        <v>3</v>
      </c>
      <c r="S210" s="743">
        <v>3</v>
      </c>
      <c r="U210" s="4" t="s">
        <v>749</v>
      </c>
      <c r="AJ210" s="700"/>
      <c r="AK210" s="761"/>
      <c r="AL210" s="702"/>
      <c r="AM210" s="795"/>
      <c r="AN210" s="795"/>
      <c r="AO210" s="795"/>
      <c r="AP210" s="699" t="s">
        <v>87</v>
      </c>
      <c r="AQ210" s="719"/>
    </row>
    <row r="211" spans="1:43" ht="14.25" x14ac:dyDescent="0.2">
      <c r="A211" s="641" t="s">
        <v>195</v>
      </c>
      <c r="B211" s="169">
        <v>5</v>
      </c>
      <c r="C211" s="285" t="str">
        <f t="shared" si="41"/>
        <v>-</v>
      </c>
      <c r="D211" s="739" t="str">
        <f t="shared" si="42"/>
        <v>-</v>
      </c>
      <c r="E211" s="794" t="s">
        <v>90</v>
      </c>
      <c r="F211" s="794" t="s">
        <v>90</v>
      </c>
      <c r="G211" s="794" t="s">
        <v>90</v>
      </c>
      <c r="H211" s="137" t="s">
        <v>90</v>
      </c>
      <c r="I211" s="794" t="s">
        <v>90</v>
      </c>
      <c r="J211" s="137" t="s">
        <v>90</v>
      </c>
      <c r="K211" s="786" t="s">
        <v>709</v>
      </c>
      <c r="L211" s="788">
        <f t="shared" si="43"/>
        <v>0.3</v>
      </c>
      <c r="M211" s="788">
        <f t="shared" si="44"/>
        <v>0.25</v>
      </c>
      <c r="N211" s="788">
        <f t="shared" si="45"/>
        <v>0.25</v>
      </c>
      <c r="P211" s="699" t="s">
        <v>87</v>
      </c>
      <c r="R211" s="785">
        <v>3</v>
      </c>
      <c r="S211" s="743">
        <v>3</v>
      </c>
      <c r="U211" s="4" t="s">
        <v>754</v>
      </c>
      <c r="AJ211" s="700"/>
      <c r="AK211" s="761"/>
      <c r="AL211" s="702"/>
      <c r="AM211" s="795"/>
      <c r="AN211" s="795"/>
      <c r="AO211" s="795"/>
      <c r="AP211" s="699" t="s">
        <v>87</v>
      </c>
      <c r="AQ211" s="719"/>
    </row>
    <row r="212" spans="1:43" ht="14.25" x14ac:dyDescent="0.2">
      <c r="A212" s="641" t="s">
        <v>905</v>
      </c>
      <c r="B212" s="169">
        <v>6</v>
      </c>
      <c r="C212" s="285" t="str">
        <f t="shared" si="41"/>
        <v>-</v>
      </c>
      <c r="D212" s="739" t="str">
        <f t="shared" si="42"/>
        <v>-</v>
      </c>
      <c r="E212" s="794" t="s">
        <v>90</v>
      </c>
      <c r="F212" s="794" t="s">
        <v>90</v>
      </c>
      <c r="G212" s="794" t="s">
        <v>90</v>
      </c>
      <c r="H212" s="137" t="s">
        <v>90</v>
      </c>
      <c r="I212" s="794" t="s">
        <v>90</v>
      </c>
      <c r="J212" s="137" t="s">
        <v>90</v>
      </c>
      <c r="K212" s="786" t="s">
        <v>710</v>
      </c>
      <c r="L212" s="788">
        <f t="shared" si="43"/>
        <v>0.3</v>
      </c>
      <c r="M212" s="788">
        <f t="shared" si="44"/>
        <v>0.25</v>
      </c>
      <c r="N212" s="788">
        <f t="shared" si="45"/>
        <v>0.75</v>
      </c>
      <c r="P212" s="699" t="s">
        <v>87</v>
      </c>
      <c r="R212" s="785">
        <v>3</v>
      </c>
      <c r="S212" s="743">
        <v>3</v>
      </c>
      <c r="U212" s="4" t="s">
        <v>751</v>
      </c>
      <c r="AJ212" s="700"/>
      <c r="AK212" s="761"/>
      <c r="AL212" s="702"/>
      <c r="AM212" s="795"/>
      <c r="AN212" s="795"/>
      <c r="AO212" s="795"/>
      <c r="AP212" s="699" t="s">
        <v>87</v>
      </c>
      <c r="AQ212" s="719"/>
    </row>
    <row r="213" spans="1:43" ht="14.25" x14ac:dyDescent="0.2">
      <c r="A213" s="641" t="s">
        <v>906</v>
      </c>
      <c r="B213" s="169">
        <v>7</v>
      </c>
      <c r="C213" s="285" t="str">
        <f t="shared" si="41"/>
        <v>-</v>
      </c>
      <c r="D213" s="739" t="str">
        <f t="shared" si="42"/>
        <v>-</v>
      </c>
      <c r="E213" s="794" t="s">
        <v>90</v>
      </c>
      <c r="F213" s="794" t="s">
        <v>90</v>
      </c>
      <c r="G213" s="794" t="s">
        <v>90</v>
      </c>
      <c r="H213" s="137" t="s">
        <v>90</v>
      </c>
      <c r="I213" s="794" t="s">
        <v>90</v>
      </c>
      <c r="J213" s="137" t="s">
        <v>90</v>
      </c>
      <c r="K213" s="786" t="s">
        <v>707</v>
      </c>
      <c r="L213" s="788">
        <f t="shared" si="43"/>
        <v>0.3</v>
      </c>
      <c r="M213" s="788">
        <f t="shared" si="44"/>
        <v>0.25</v>
      </c>
      <c r="N213" s="788">
        <f t="shared" si="45"/>
        <v>0.75</v>
      </c>
      <c r="P213" s="699" t="s">
        <v>87</v>
      </c>
      <c r="R213" s="785">
        <v>3</v>
      </c>
      <c r="S213" s="743">
        <v>3</v>
      </c>
      <c r="U213" s="4" t="s">
        <v>754</v>
      </c>
      <c r="AJ213" s="700"/>
      <c r="AK213" s="761"/>
      <c r="AL213" s="702"/>
      <c r="AM213" s="795"/>
      <c r="AN213" s="795"/>
      <c r="AO213" s="795"/>
      <c r="AP213" s="699" t="s">
        <v>87</v>
      </c>
      <c r="AQ213" s="719"/>
    </row>
    <row r="214" spans="1:43" ht="14.25" x14ac:dyDescent="0.2">
      <c r="A214" s="641" t="s">
        <v>907</v>
      </c>
      <c r="B214" s="169">
        <v>8</v>
      </c>
      <c r="C214" s="285" t="str">
        <f t="shared" si="41"/>
        <v>-</v>
      </c>
      <c r="D214" s="739" t="str">
        <f t="shared" si="42"/>
        <v>-</v>
      </c>
      <c r="E214" s="794" t="s">
        <v>90</v>
      </c>
      <c r="F214" s="794" t="s">
        <v>90</v>
      </c>
      <c r="G214" s="794" t="s">
        <v>90</v>
      </c>
      <c r="H214" s="137" t="s">
        <v>90</v>
      </c>
      <c r="I214" s="794" t="s">
        <v>90</v>
      </c>
      <c r="J214" s="137" t="s">
        <v>90</v>
      </c>
      <c r="K214" s="786" t="s">
        <v>709</v>
      </c>
      <c r="L214" s="788">
        <f t="shared" si="43"/>
        <v>0.3</v>
      </c>
      <c r="M214" s="788">
        <f t="shared" si="44"/>
        <v>0.25</v>
      </c>
      <c r="N214" s="788">
        <f t="shared" si="45"/>
        <v>0.25</v>
      </c>
      <c r="P214" s="699" t="s">
        <v>87</v>
      </c>
      <c r="R214" s="785">
        <v>3</v>
      </c>
      <c r="S214" s="743">
        <v>3</v>
      </c>
      <c r="U214" s="4" t="s">
        <v>749</v>
      </c>
      <c r="AJ214" s="700"/>
      <c r="AK214" s="761"/>
      <c r="AL214" s="702"/>
      <c r="AM214" s="795"/>
      <c r="AN214" s="795"/>
      <c r="AO214" s="795"/>
      <c r="AP214" s="699" t="s">
        <v>87</v>
      </c>
      <c r="AQ214" s="719"/>
    </row>
    <row r="215" spans="1:43" ht="14.25" x14ac:dyDescent="0.2">
      <c r="A215" s="641" t="s">
        <v>700</v>
      </c>
      <c r="B215" s="169">
        <v>9</v>
      </c>
      <c r="C215" s="285" t="str">
        <f t="shared" si="41"/>
        <v>-</v>
      </c>
      <c r="D215" s="739" t="str">
        <f t="shared" si="42"/>
        <v>-</v>
      </c>
      <c r="E215" s="794" t="s">
        <v>90</v>
      </c>
      <c r="F215" s="794" t="s">
        <v>90</v>
      </c>
      <c r="G215" s="794" t="s">
        <v>90</v>
      </c>
      <c r="H215" s="137" t="s">
        <v>90</v>
      </c>
      <c r="I215" s="794" t="s">
        <v>90</v>
      </c>
      <c r="J215" s="137" t="s">
        <v>90</v>
      </c>
      <c r="K215" s="786" t="s">
        <v>707</v>
      </c>
      <c r="L215" s="788">
        <f t="shared" si="43"/>
        <v>0.3</v>
      </c>
      <c r="M215" s="788">
        <f t="shared" si="44"/>
        <v>0.25</v>
      </c>
      <c r="N215" s="788">
        <f t="shared" si="45"/>
        <v>0.75</v>
      </c>
      <c r="P215" s="699" t="s">
        <v>87</v>
      </c>
      <c r="R215" s="785">
        <v>3</v>
      </c>
      <c r="S215" s="743">
        <v>3</v>
      </c>
      <c r="U215" s="4" t="s">
        <v>754</v>
      </c>
      <c r="AJ215" s="700"/>
      <c r="AK215" s="761"/>
      <c r="AL215" s="702"/>
      <c r="AM215" s="795"/>
      <c r="AN215" s="795"/>
      <c r="AO215" s="795"/>
      <c r="AP215" s="699" t="s">
        <v>87</v>
      </c>
      <c r="AQ215" s="719"/>
    </row>
    <row r="216" spans="1:43" ht="14.25" x14ac:dyDescent="0.2">
      <c r="A216" s="641" t="s">
        <v>782</v>
      </c>
      <c r="B216" s="169">
        <v>10</v>
      </c>
      <c r="C216" s="285" t="str">
        <f t="shared" si="41"/>
        <v>-</v>
      </c>
      <c r="D216" s="739" t="str">
        <f t="shared" si="42"/>
        <v>-</v>
      </c>
      <c r="E216" s="794" t="s">
        <v>90</v>
      </c>
      <c r="F216" s="794" t="s">
        <v>90</v>
      </c>
      <c r="G216" s="794" t="s">
        <v>90</v>
      </c>
      <c r="H216" s="137" t="s">
        <v>90</v>
      </c>
      <c r="I216" s="794" t="s">
        <v>90</v>
      </c>
      <c r="J216" s="137" t="s">
        <v>90</v>
      </c>
      <c r="K216" s="786" t="s">
        <v>706</v>
      </c>
      <c r="L216" s="788">
        <f t="shared" si="43"/>
        <v>0.3</v>
      </c>
      <c r="M216" s="788">
        <f t="shared" si="44"/>
        <v>0.25</v>
      </c>
      <c r="N216" s="788">
        <f t="shared" si="45"/>
        <v>0.75</v>
      </c>
      <c r="P216" s="699" t="s">
        <v>87</v>
      </c>
      <c r="R216" s="785">
        <v>3</v>
      </c>
      <c r="S216" s="743">
        <v>3</v>
      </c>
      <c r="U216" s="4" t="s">
        <v>754</v>
      </c>
      <c r="AJ216" s="700"/>
      <c r="AK216" s="761"/>
      <c r="AL216" s="702"/>
      <c r="AM216" s="795"/>
      <c r="AN216" s="795"/>
      <c r="AO216" s="795"/>
      <c r="AP216" s="699" t="s">
        <v>87</v>
      </c>
      <c r="AQ216" s="719"/>
    </row>
    <row r="217" spans="1:43" ht="14.25" x14ac:dyDescent="0.2">
      <c r="A217" s="641" t="s">
        <v>908</v>
      </c>
      <c r="B217" s="169">
        <v>11</v>
      </c>
      <c r="C217" s="285" t="str">
        <f t="shared" si="41"/>
        <v>-</v>
      </c>
      <c r="D217" s="739" t="str">
        <f t="shared" si="42"/>
        <v>-</v>
      </c>
      <c r="E217" s="794" t="s">
        <v>90</v>
      </c>
      <c r="F217" s="794" t="s">
        <v>90</v>
      </c>
      <c r="G217" s="794" t="s">
        <v>90</v>
      </c>
      <c r="H217" s="137" t="s">
        <v>90</v>
      </c>
      <c r="I217" s="794" t="s">
        <v>90</v>
      </c>
      <c r="J217" s="137" t="s">
        <v>90</v>
      </c>
      <c r="K217" s="786" t="s">
        <v>350</v>
      </c>
      <c r="L217" s="788">
        <f t="shared" si="43"/>
        <v>0.3</v>
      </c>
      <c r="M217" s="788">
        <f t="shared" si="44"/>
        <v>0.25</v>
      </c>
      <c r="N217" s="788">
        <f t="shared" si="45"/>
        <v>0.5</v>
      </c>
      <c r="P217" s="699" t="s">
        <v>87</v>
      </c>
      <c r="R217" s="785">
        <v>3</v>
      </c>
      <c r="S217" s="743">
        <v>3</v>
      </c>
      <c r="U217" s="4" t="s">
        <v>754</v>
      </c>
      <c r="AJ217" s="700"/>
      <c r="AK217" s="761"/>
      <c r="AL217" s="702"/>
      <c r="AM217" s="795"/>
      <c r="AN217" s="795"/>
      <c r="AO217" s="795"/>
      <c r="AP217" s="699" t="s">
        <v>87</v>
      </c>
      <c r="AQ217" s="719"/>
    </row>
    <row r="218" spans="1:43" ht="14.25" x14ac:dyDescent="0.2">
      <c r="A218" s="641" t="s">
        <v>909</v>
      </c>
      <c r="B218" s="169">
        <v>12</v>
      </c>
      <c r="C218" s="285" t="str">
        <f t="shared" si="41"/>
        <v>-</v>
      </c>
      <c r="D218" s="739" t="str">
        <f t="shared" si="42"/>
        <v>-</v>
      </c>
      <c r="E218" s="794" t="s">
        <v>90</v>
      </c>
      <c r="F218" s="794" t="s">
        <v>90</v>
      </c>
      <c r="G218" s="794" t="s">
        <v>90</v>
      </c>
      <c r="H218" s="137" t="s">
        <v>90</v>
      </c>
      <c r="I218" s="794" t="s">
        <v>90</v>
      </c>
      <c r="J218" s="137" t="s">
        <v>90</v>
      </c>
      <c r="K218" s="786" t="s">
        <v>709</v>
      </c>
      <c r="L218" s="788">
        <f t="shared" si="43"/>
        <v>0.35</v>
      </c>
      <c r="M218" s="788">
        <f t="shared" si="44"/>
        <v>0.3</v>
      </c>
      <c r="N218" s="788">
        <f t="shared" si="45"/>
        <v>0.25</v>
      </c>
      <c r="P218" s="699" t="s">
        <v>87</v>
      </c>
      <c r="R218" s="785">
        <v>4</v>
      </c>
      <c r="S218" s="743">
        <v>4</v>
      </c>
      <c r="U218" s="4" t="s">
        <v>754</v>
      </c>
      <c r="AJ218" s="700"/>
      <c r="AK218" s="761"/>
      <c r="AL218" s="702"/>
      <c r="AM218" s="795"/>
      <c r="AN218" s="795"/>
      <c r="AO218" s="795"/>
      <c r="AP218" s="699" t="s">
        <v>87</v>
      </c>
      <c r="AQ218" s="719"/>
    </row>
    <row r="219" spans="1:43" ht="14.25" x14ac:dyDescent="0.2">
      <c r="A219" s="641" t="s">
        <v>910</v>
      </c>
      <c r="B219" s="169">
        <v>13</v>
      </c>
      <c r="C219" s="285" t="str">
        <f t="shared" si="41"/>
        <v>-</v>
      </c>
      <c r="D219" s="739" t="str">
        <f t="shared" si="42"/>
        <v>-</v>
      </c>
      <c r="E219" s="794" t="s">
        <v>90</v>
      </c>
      <c r="F219" s="794" t="s">
        <v>90</v>
      </c>
      <c r="G219" s="794" t="s">
        <v>90</v>
      </c>
      <c r="H219" s="137" t="s">
        <v>90</v>
      </c>
      <c r="I219" s="794" t="s">
        <v>90</v>
      </c>
      <c r="J219" s="137" t="s">
        <v>90</v>
      </c>
      <c r="K219" s="786" t="s">
        <v>710</v>
      </c>
      <c r="L219" s="788">
        <f t="shared" si="43"/>
        <v>0.35</v>
      </c>
      <c r="M219" s="788">
        <f t="shared" si="44"/>
        <v>0.3</v>
      </c>
      <c r="N219" s="788">
        <f t="shared" si="45"/>
        <v>0.75</v>
      </c>
      <c r="P219" s="699" t="s">
        <v>87</v>
      </c>
      <c r="R219" s="785">
        <v>4</v>
      </c>
      <c r="S219" s="743">
        <v>4</v>
      </c>
      <c r="U219" s="4" t="s">
        <v>751</v>
      </c>
      <c r="AJ219" s="700"/>
      <c r="AK219" s="761"/>
      <c r="AL219" s="702"/>
      <c r="AM219" s="795"/>
      <c r="AN219" s="795"/>
      <c r="AO219" s="795"/>
      <c r="AP219" s="699" t="s">
        <v>87</v>
      </c>
      <c r="AQ219" s="719"/>
    </row>
    <row r="220" spans="1:43" ht="14.25" x14ac:dyDescent="0.2">
      <c r="A220" s="641" t="s">
        <v>911</v>
      </c>
      <c r="B220" s="169">
        <v>14</v>
      </c>
      <c r="C220" s="285" t="str">
        <f t="shared" si="41"/>
        <v>-</v>
      </c>
      <c r="D220" s="739" t="str">
        <f t="shared" si="42"/>
        <v>-</v>
      </c>
      <c r="E220" s="794" t="s">
        <v>90</v>
      </c>
      <c r="F220" s="794" t="s">
        <v>90</v>
      </c>
      <c r="G220" s="794" t="s">
        <v>90</v>
      </c>
      <c r="H220" s="137" t="s">
        <v>90</v>
      </c>
      <c r="I220" s="794" t="s">
        <v>90</v>
      </c>
      <c r="J220" s="137" t="s">
        <v>90</v>
      </c>
      <c r="K220" s="786" t="s">
        <v>710</v>
      </c>
      <c r="L220" s="788">
        <f t="shared" si="43"/>
        <v>0.35</v>
      </c>
      <c r="M220" s="788">
        <f t="shared" si="44"/>
        <v>0.3</v>
      </c>
      <c r="N220" s="788">
        <f t="shared" si="45"/>
        <v>0.75</v>
      </c>
      <c r="P220" s="699" t="s">
        <v>87</v>
      </c>
      <c r="R220" s="785">
        <v>4</v>
      </c>
      <c r="S220" s="743">
        <v>4</v>
      </c>
      <c r="U220" s="4" t="s">
        <v>751</v>
      </c>
      <c r="AJ220" s="700"/>
      <c r="AK220" s="761"/>
      <c r="AL220" s="702"/>
      <c r="AM220" s="795"/>
      <c r="AN220" s="795"/>
      <c r="AO220" s="795"/>
      <c r="AP220" s="699" t="s">
        <v>87</v>
      </c>
      <c r="AQ220" s="719"/>
    </row>
    <row r="221" spans="1:43" ht="14.25" x14ac:dyDescent="0.2">
      <c r="A221" s="97" t="s">
        <v>912</v>
      </c>
      <c r="B221" s="162">
        <v>15</v>
      </c>
      <c r="C221" s="153" t="str">
        <f t="shared" si="41"/>
        <v>-</v>
      </c>
      <c r="D221" s="756" t="str">
        <f t="shared" si="42"/>
        <v>-</v>
      </c>
      <c r="E221" s="796" t="s">
        <v>90</v>
      </c>
      <c r="F221" s="796" t="s">
        <v>90</v>
      </c>
      <c r="G221" s="796" t="s">
        <v>90</v>
      </c>
      <c r="H221" s="139" t="s">
        <v>90</v>
      </c>
      <c r="I221" s="796" t="s">
        <v>90</v>
      </c>
      <c r="J221" s="139" t="s">
        <v>90</v>
      </c>
      <c r="K221" s="789" t="s">
        <v>710</v>
      </c>
      <c r="L221" s="791">
        <f t="shared" si="43"/>
        <v>0.35</v>
      </c>
      <c r="M221" s="791">
        <f t="shared" si="44"/>
        <v>0.3</v>
      </c>
      <c r="N221" s="791">
        <f t="shared" si="45"/>
        <v>0.75</v>
      </c>
      <c r="P221" s="699" t="s">
        <v>87</v>
      </c>
      <c r="R221" s="792">
        <v>4</v>
      </c>
      <c r="S221" s="762">
        <v>4</v>
      </c>
      <c r="U221" s="4" t="s">
        <v>751</v>
      </c>
      <c r="AJ221" s="700"/>
      <c r="AK221" s="761"/>
      <c r="AL221" s="702"/>
      <c r="AM221" s="795"/>
      <c r="AN221" s="795"/>
      <c r="AO221" s="795"/>
      <c r="AP221" s="699" t="s">
        <v>87</v>
      </c>
      <c r="AQ221" s="719"/>
    </row>
    <row r="222" spans="1:43" ht="14.25" x14ac:dyDescent="0.2">
      <c r="P222" s="699" t="s">
        <v>87</v>
      </c>
      <c r="AJ222" s="700"/>
      <c r="AK222" s="761"/>
      <c r="AL222" s="702"/>
      <c r="AM222" s="795"/>
      <c r="AN222" s="795"/>
      <c r="AO222" s="795"/>
      <c r="AP222" s="699" t="s">
        <v>87</v>
      </c>
      <c r="AQ222" s="719"/>
    </row>
    <row r="223" spans="1:43" ht="14.25" x14ac:dyDescent="0.2">
      <c r="A223" s="793" t="str">
        <f>$A$17</f>
        <v>Detailed information for</v>
      </c>
      <c r="B223" s="764"/>
      <c r="C223" s="765" t="s">
        <v>731</v>
      </c>
      <c r="D223" s="766" t="s">
        <v>732</v>
      </c>
      <c r="E223" s="767"/>
      <c r="F223" s="767"/>
      <c r="G223" s="768"/>
      <c r="H223" s="769" t="s">
        <v>733</v>
      </c>
      <c r="I223" s="770"/>
      <c r="J223" s="770"/>
      <c r="K223" s="771" t="s">
        <v>33</v>
      </c>
      <c r="L223" s="772" t="s">
        <v>734</v>
      </c>
      <c r="M223" s="770"/>
      <c r="N223" s="770"/>
      <c r="P223" s="699" t="s">
        <v>87</v>
      </c>
      <c r="R223" s="773" t="s">
        <v>735</v>
      </c>
      <c r="S223" s="770"/>
      <c r="AJ223" s="700"/>
      <c r="AK223" s="761"/>
      <c r="AL223" s="702"/>
      <c r="AM223" s="795"/>
      <c r="AN223" s="795"/>
      <c r="AO223" s="795"/>
      <c r="AP223" s="699" t="s">
        <v>87</v>
      </c>
      <c r="AQ223" s="719"/>
    </row>
    <row r="224" spans="1:43" ht="15" x14ac:dyDescent="0.25">
      <c r="A224" s="774" t="s">
        <v>913</v>
      </c>
      <c r="B224" s="775"/>
      <c r="C224" s="776" t="s">
        <v>736</v>
      </c>
      <c r="D224" s="777" t="s">
        <v>173</v>
      </c>
      <c r="E224" s="777" t="s">
        <v>737</v>
      </c>
      <c r="F224" s="777" t="s">
        <v>738</v>
      </c>
      <c r="G224" s="777" t="s">
        <v>739</v>
      </c>
      <c r="H224" s="777" t="s">
        <v>737</v>
      </c>
      <c r="I224" s="777" t="s">
        <v>738</v>
      </c>
      <c r="J224" s="777" t="s">
        <v>740</v>
      </c>
      <c r="K224" s="778" t="s">
        <v>8</v>
      </c>
      <c r="L224" s="779" t="s">
        <v>741</v>
      </c>
      <c r="M224" s="779" t="s">
        <v>742</v>
      </c>
      <c r="N224" s="780" t="s">
        <v>743</v>
      </c>
      <c r="P224" s="699" t="s">
        <v>87</v>
      </c>
      <c r="R224" s="777" t="s">
        <v>744</v>
      </c>
      <c r="S224" s="777" t="s">
        <v>745</v>
      </c>
      <c r="AJ224" s="700"/>
      <c r="AK224" s="761"/>
      <c r="AL224" s="702"/>
      <c r="AM224" s="795"/>
      <c r="AN224" s="795"/>
      <c r="AO224" s="795"/>
      <c r="AP224" s="699" t="s">
        <v>87</v>
      </c>
      <c r="AQ224" s="719"/>
    </row>
    <row r="225" spans="1:43" ht="14.25" x14ac:dyDescent="0.2">
      <c r="A225" s="662"/>
      <c r="B225" s="104">
        <v>70</v>
      </c>
      <c r="C225" s="167" t="s">
        <v>746</v>
      </c>
      <c r="D225" s="167" t="s">
        <v>747</v>
      </c>
      <c r="E225" s="167">
        <v>3</v>
      </c>
      <c r="F225" s="167">
        <v>4</v>
      </c>
      <c r="G225" s="167">
        <v>5</v>
      </c>
      <c r="H225" s="167">
        <v>6</v>
      </c>
      <c r="I225" s="167">
        <v>7</v>
      </c>
      <c r="J225" s="167">
        <v>8</v>
      </c>
      <c r="K225" s="167"/>
      <c r="L225" s="167"/>
      <c r="M225" s="167"/>
      <c r="N225" s="214"/>
      <c r="P225" s="699" t="s">
        <v>87</v>
      </c>
      <c r="R225" s="781"/>
      <c r="S225" s="106"/>
      <c r="AJ225" s="700"/>
      <c r="AK225" s="761"/>
      <c r="AL225" s="702"/>
      <c r="AM225" s="795"/>
      <c r="AN225" s="795"/>
      <c r="AO225" s="795"/>
      <c r="AP225" s="699" t="s">
        <v>87</v>
      </c>
      <c r="AQ225" s="719"/>
    </row>
    <row r="226" spans="1:43" ht="14.25" x14ac:dyDescent="0.2">
      <c r="A226" s="641" t="s">
        <v>914</v>
      </c>
      <c r="B226" s="169">
        <v>1</v>
      </c>
      <c r="C226" s="285" t="str">
        <f t="shared" ref="C226:C252" si="46">IF(OR(D226&lt;&gt;"-",I226&lt;&gt;"-"),SQRT(PRODUCT(L226,SUM(D226))^2+PRODUCT(M226,SUM(I226))^2+2*PRODUCT(N226,L226,SUM(D226),M226,SUM(I226))),"-")</f>
        <v>-</v>
      </c>
      <c r="D226" s="739" t="str">
        <f t="shared" ref="D226:D252" si="47">IF(OR(F226&lt;&gt;"-",G226&lt;&gt;"-"),MAX(SUM(F226),SUM(G226)),"-")</f>
        <v>-</v>
      </c>
      <c r="E226" s="794" t="s">
        <v>90</v>
      </c>
      <c r="F226" s="794" t="s">
        <v>90</v>
      </c>
      <c r="G226" s="794" t="s">
        <v>90</v>
      </c>
      <c r="H226" s="137" t="s">
        <v>90</v>
      </c>
      <c r="I226" s="794" t="s">
        <v>90</v>
      </c>
      <c r="J226" s="137" t="s">
        <v>90</v>
      </c>
      <c r="K226" s="786" t="s">
        <v>709</v>
      </c>
      <c r="L226" s="788">
        <f t="shared" ref="L226:L252" si="48">IFERROR(INDEX(ICS.NL.Buckets.P,R226),"-")</f>
        <v>0.15</v>
      </c>
      <c r="M226" s="788">
        <f t="shared" ref="M226:M252" si="49">IFERROR(INDEX(ICS.NL.Buckets.R,S226),"-")</f>
        <v>0.5</v>
      </c>
      <c r="N226" s="788">
        <f t="shared" ref="N226:N252" si="50">IFERROR(INDEX(ICS.NL.Corr.P_R,MATCH(K226,ICS.NL.CategMapping,0)),1)</f>
        <v>0.25</v>
      </c>
      <c r="P226" s="699" t="s">
        <v>87</v>
      </c>
      <c r="R226" s="785">
        <v>1</v>
      </c>
      <c r="S226" s="743">
        <v>8</v>
      </c>
      <c r="U226" s="4" t="s">
        <v>749</v>
      </c>
      <c r="AJ226" s="700"/>
      <c r="AK226" s="761"/>
      <c r="AL226" s="702"/>
      <c r="AM226" s="795"/>
      <c r="AN226" s="795"/>
      <c r="AO226" s="795"/>
      <c r="AP226" s="699" t="s">
        <v>87</v>
      </c>
      <c r="AQ226" s="719"/>
    </row>
    <row r="227" spans="1:43" ht="14.25" x14ac:dyDescent="0.2">
      <c r="A227" s="641" t="s">
        <v>915</v>
      </c>
      <c r="B227" s="169">
        <v>2</v>
      </c>
      <c r="C227" s="285" t="str">
        <f t="shared" si="46"/>
        <v>-</v>
      </c>
      <c r="D227" s="739" t="str">
        <f t="shared" si="47"/>
        <v>-</v>
      </c>
      <c r="E227" s="794" t="s">
        <v>90</v>
      </c>
      <c r="F227" s="794" t="s">
        <v>90</v>
      </c>
      <c r="G227" s="794" t="s">
        <v>90</v>
      </c>
      <c r="H227" s="137" t="s">
        <v>90</v>
      </c>
      <c r="I227" s="794" t="s">
        <v>90</v>
      </c>
      <c r="J227" s="137" t="s">
        <v>90</v>
      </c>
      <c r="K227" s="786" t="s">
        <v>709</v>
      </c>
      <c r="L227" s="788">
        <f t="shared" si="48"/>
        <v>0.15</v>
      </c>
      <c r="M227" s="788">
        <f t="shared" si="49"/>
        <v>0.5</v>
      </c>
      <c r="N227" s="788">
        <f t="shared" si="50"/>
        <v>0.25</v>
      </c>
      <c r="P227" s="699" t="s">
        <v>87</v>
      </c>
      <c r="R227" s="785">
        <v>1</v>
      </c>
      <c r="S227" s="743">
        <v>8</v>
      </c>
      <c r="U227" s="4" t="s">
        <v>749</v>
      </c>
      <c r="AJ227" s="700"/>
      <c r="AK227" s="761"/>
      <c r="AL227" s="702"/>
      <c r="AM227" s="795"/>
      <c r="AN227" s="795"/>
      <c r="AO227" s="795"/>
      <c r="AP227" s="699" t="s">
        <v>87</v>
      </c>
      <c r="AQ227" s="719"/>
    </row>
    <row r="228" spans="1:43" ht="14.25" x14ac:dyDescent="0.2">
      <c r="A228" s="641" t="s">
        <v>916</v>
      </c>
      <c r="B228" s="169">
        <v>3</v>
      </c>
      <c r="C228" s="285" t="str">
        <f t="shared" si="46"/>
        <v>-</v>
      </c>
      <c r="D228" s="739" t="str">
        <f t="shared" si="47"/>
        <v>-</v>
      </c>
      <c r="E228" s="794" t="s">
        <v>90</v>
      </c>
      <c r="F228" s="794" t="s">
        <v>90</v>
      </c>
      <c r="G228" s="794" t="s">
        <v>90</v>
      </c>
      <c r="H228" s="137" t="s">
        <v>90</v>
      </c>
      <c r="I228" s="794" t="s">
        <v>90</v>
      </c>
      <c r="J228" s="137" t="s">
        <v>90</v>
      </c>
      <c r="K228" s="786" t="s">
        <v>709</v>
      </c>
      <c r="L228" s="788">
        <f t="shared" si="48"/>
        <v>0.7</v>
      </c>
      <c r="M228" s="788">
        <f t="shared" si="49"/>
        <v>0.5</v>
      </c>
      <c r="N228" s="788">
        <f t="shared" si="50"/>
        <v>0.25</v>
      </c>
      <c r="P228" s="699" t="s">
        <v>87</v>
      </c>
      <c r="R228" s="785">
        <v>8</v>
      </c>
      <c r="S228" s="743">
        <v>8</v>
      </c>
      <c r="U228" s="4" t="s">
        <v>749</v>
      </c>
      <c r="AJ228" s="700"/>
      <c r="AK228" s="761"/>
      <c r="AL228" s="702"/>
      <c r="AM228" s="795"/>
      <c r="AN228" s="795"/>
      <c r="AO228" s="795"/>
      <c r="AP228" s="699" t="s">
        <v>87</v>
      </c>
      <c r="AQ228" s="719"/>
    </row>
    <row r="229" spans="1:43" ht="14.25" x14ac:dyDescent="0.2">
      <c r="A229" s="641" t="s">
        <v>917</v>
      </c>
      <c r="B229" s="169">
        <v>4</v>
      </c>
      <c r="C229" s="285" t="str">
        <f t="shared" si="46"/>
        <v>-</v>
      </c>
      <c r="D229" s="739" t="str">
        <f t="shared" si="47"/>
        <v>-</v>
      </c>
      <c r="E229" s="794" t="s">
        <v>90</v>
      </c>
      <c r="F229" s="794" t="s">
        <v>90</v>
      </c>
      <c r="G229" s="794" t="s">
        <v>90</v>
      </c>
      <c r="H229" s="137" t="s">
        <v>90</v>
      </c>
      <c r="I229" s="794" t="s">
        <v>90</v>
      </c>
      <c r="J229" s="137" t="s">
        <v>90</v>
      </c>
      <c r="K229" s="786" t="s">
        <v>709</v>
      </c>
      <c r="L229" s="788">
        <f t="shared" si="48"/>
        <v>0.7</v>
      </c>
      <c r="M229" s="788">
        <f t="shared" si="49"/>
        <v>0.5</v>
      </c>
      <c r="N229" s="788">
        <f t="shared" si="50"/>
        <v>0.25</v>
      </c>
      <c r="P229" s="699" t="s">
        <v>87</v>
      </c>
      <c r="R229" s="785">
        <v>8</v>
      </c>
      <c r="S229" s="743">
        <v>8</v>
      </c>
      <c r="U229" s="4" t="s">
        <v>749</v>
      </c>
      <c r="AJ229" s="700"/>
      <c r="AK229" s="761"/>
      <c r="AL229" s="702"/>
      <c r="AM229" s="795"/>
      <c r="AN229" s="795"/>
      <c r="AO229" s="795"/>
      <c r="AP229" s="699" t="s">
        <v>87</v>
      </c>
      <c r="AQ229" s="719"/>
    </row>
    <row r="230" spans="1:43" ht="14.25" x14ac:dyDescent="0.2">
      <c r="A230" s="641" t="s">
        <v>918</v>
      </c>
      <c r="B230" s="169">
        <v>5</v>
      </c>
      <c r="C230" s="285" t="str">
        <f t="shared" si="46"/>
        <v>-</v>
      </c>
      <c r="D230" s="739" t="str">
        <f t="shared" si="47"/>
        <v>-</v>
      </c>
      <c r="E230" s="794" t="s">
        <v>90</v>
      </c>
      <c r="F230" s="794" t="s">
        <v>90</v>
      </c>
      <c r="G230" s="794" t="s">
        <v>90</v>
      </c>
      <c r="H230" s="137" t="s">
        <v>90</v>
      </c>
      <c r="I230" s="794" t="s">
        <v>90</v>
      </c>
      <c r="J230" s="137" t="s">
        <v>90</v>
      </c>
      <c r="K230" s="786" t="s">
        <v>709</v>
      </c>
      <c r="L230" s="788">
        <f t="shared" si="48"/>
        <v>0.25</v>
      </c>
      <c r="M230" s="788">
        <f t="shared" si="49"/>
        <v>0.2</v>
      </c>
      <c r="N230" s="788">
        <f t="shared" si="50"/>
        <v>0.25</v>
      </c>
      <c r="P230" s="699" t="s">
        <v>87</v>
      </c>
      <c r="R230" s="785">
        <v>2</v>
      </c>
      <c r="S230" s="743">
        <v>2</v>
      </c>
      <c r="U230" s="4" t="s">
        <v>749</v>
      </c>
      <c r="AJ230" s="700"/>
      <c r="AK230" s="761"/>
      <c r="AL230" s="702"/>
      <c r="AM230" s="795"/>
      <c r="AN230" s="795"/>
      <c r="AO230" s="795"/>
      <c r="AP230" s="699" t="s">
        <v>87</v>
      </c>
      <c r="AQ230" s="719"/>
    </row>
    <row r="231" spans="1:43" ht="14.25" x14ac:dyDescent="0.2">
      <c r="A231" s="641" t="s">
        <v>919</v>
      </c>
      <c r="B231" s="169">
        <v>6</v>
      </c>
      <c r="C231" s="285" t="str">
        <f t="shared" si="46"/>
        <v>-</v>
      </c>
      <c r="D231" s="739" t="str">
        <f t="shared" si="47"/>
        <v>-</v>
      </c>
      <c r="E231" s="794" t="s">
        <v>90</v>
      </c>
      <c r="F231" s="794" t="s">
        <v>90</v>
      </c>
      <c r="G231" s="794" t="s">
        <v>90</v>
      </c>
      <c r="H231" s="137" t="s">
        <v>90</v>
      </c>
      <c r="I231" s="794" t="s">
        <v>90</v>
      </c>
      <c r="J231" s="137" t="s">
        <v>90</v>
      </c>
      <c r="K231" s="786" t="s">
        <v>709</v>
      </c>
      <c r="L231" s="788">
        <f t="shared" si="48"/>
        <v>0.25</v>
      </c>
      <c r="M231" s="788">
        <f t="shared" si="49"/>
        <v>0.2</v>
      </c>
      <c r="N231" s="788">
        <f t="shared" si="50"/>
        <v>0.25</v>
      </c>
      <c r="P231" s="699" t="s">
        <v>87</v>
      </c>
      <c r="R231" s="785">
        <v>2</v>
      </c>
      <c r="S231" s="743">
        <v>2</v>
      </c>
      <c r="U231" s="4" t="s">
        <v>749</v>
      </c>
      <c r="AJ231" s="700"/>
      <c r="AK231" s="761"/>
      <c r="AL231" s="702"/>
      <c r="AM231" s="795"/>
      <c r="AN231" s="795"/>
      <c r="AO231" s="795"/>
      <c r="AP231" s="699" t="s">
        <v>87</v>
      </c>
      <c r="AQ231" s="719"/>
    </row>
    <row r="232" spans="1:43" ht="14.25" x14ac:dyDescent="0.2">
      <c r="A232" s="641" t="s">
        <v>920</v>
      </c>
      <c r="B232" s="169">
        <v>7</v>
      </c>
      <c r="C232" s="285" t="str">
        <f t="shared" si="46"/>
        <v>-</v>
      </c>
      <c r="D232" s="739" t="str">
        <f t="shared" si="47"/>
        <v>-</v>
      </c>
      <c r="E232" s="794" t="s">
        <v>90</v>
      </c>
      <c r="F232" s="794" t="s">
        <v>90</v>
      </c>
      <c r="G232" s="794" t="s">
        <v>90</v>
      </c>
      <c r="H232" s="137" t="s">
        <v>90</v>
      </c>
      <c r="I232" s="794" t="s">
        <v>90</v>
      </c>
      <c r="J232" s="137" t="s">
        <v>90</v>
      </c>
      <c r="K232" s="786" t="s">
        <v>709</v>
      </c>
      <c r="L232" s="788">
        <f t="shared" si="48"/>
        <v>0.7</v>
      </c>
      <c r="M232" s="788">
        <f t="shared" si="49"/>
        <v>0.5</v>
      </c>
      <c r="N232" s="788">
        <f t="shared" si="50"/>
        <v>0.25</v>
      </c>
      <c r="P232" s="699" t="s">
        <v>87</v>
      </c>
      <c r="R232" s="785">
        <v>8</v>
      </c>
      <c r="S232" s="743">
        <v>8</v>
      </c>
      <c r="U232" s="4" t="s">
        <v>754</v>
      </c>
      <c r="AJ232" s="700"/>
      <c r="AK232" s="761"/>
      <c r="AL232" s="702"/>
      <c r="AM232" s="795"/>
      <c r="AN232" s="795"/>
      <c r="AO232" s="795"/>
      <c r="AP232" s="699" t="s">
        <v>87</v>
      </c>
      <c r="AQ232" s="719"/>
    </row>
    <row r="233" spans="1:43" ht="14.25" x14ac:dyDescent="0.2">
      <c r="A233" s="641" t="s">
        <v>921</v>
      </c>
      <c r="B233" s="169">
        <v>8</v>
      </c>
      <c r="C233" s="285" t="str">
        <f t="shared" si="46"/>
        <v>-</v>
      </c>
      <c r="D233" s="739" t="str">
        <f t="shared" si="47"/>
        <v>-</v>
      </c>
      <c r="E233" s="794" t="s">
        <v>90</v>
      </c>
      <c r="F233" s="794" t="s">
        <v>90</v>
      </c>
      <c r="G233" s="794" t="s">
        <v>90</v>
      </c>
      <c r="H233" s="137" t="s">
        <v>90</v>
      </c>
      <c r="I233" s="794" t="s">
        <v>90</v>
      </c>
      <c r="J233" s="137" t="s">
        <v>90</v>
      </c>
      <c r="K233" s="786" t="s">
        <v>709</v>
      </c>
      <c r="L233" s="788">
        <f t="shared" si="48"/>
        <v>0.45</v>
      </c>
      <c r="M233" s="788">
        <f t="shared" si="49"/>
        <v>0.45</v>
      </c>
      <c r="N233" s="788">
        <f t="shared" si="50"/>
        <v>0.25</v>
      </c>
      <c r="P233" s="699" t="s">
        <v>87</v>
      </c>
      <c r="R233" s="785">
        <v>5</v>
      </c>
      <c r="S233" s="743">
        <v>7</v>
      </c>
      <c r="U233" s="4" t="s">
        <v>754</v>
      </c>
      <c r="AJ233" s="700"/>
      <c r="AK233" s="761"/>
      <c r="AL233" s="702"/>
      <c r="AM233" s="795"/>
      <c r="AN233" s="795"/>
      <c r="AO233" s="795"/>
      <c r="AP233" s="699" t="s">
        <v>87</v>
      </c>
      <c r="AQ233" s="719"/>
    </row>
    <row r="234" spans="1:43" ht="14.25" x14ac:dyDescent="0.2">
      <c r="A234" s="641" t="s">
        <v>922</v>
      </c>
      <c r="B234" s="169">
        <v>9</v>
      </c>
      <c r="C234" s="285" t="str">
        <f t="shared" si="46"/>
        <v>-</v>
      </c>
      <c r="D234" s="739" t="str">
        <f t="shared" si="47"/>
        <v>-</v>
      </c>
      <c r="E234" s="794" t="s">
        <v>90</v>
      </c>
      <c r="F234" s="794" t="s">
        <v>90</v>
      </c>
      <c r="G234" s="794" t="s">
        <v>90</v>
      </c>
      <c r="H234" s="137" t="s">
        <v>90</v>
      </c>
      <c r="I234" s="794" t="s">
        <v>90</v>
      </c>
      <c r="J234" s="137" t="s">
        <v>90</v>
      </c>
      <c r="K234" s="786" t="s">
        <v>709</v>
      </c>
      <c r="L234" s="788">
        <f t="shared" si="48"/>
        <v>0.7</v>
      </c>
      <c r="M234" s="788">
        <f t="shared" si="49"/>
        <v>0.5</v>
      </c>
      <c r="N234" s="788">
        <f t="shared" si="50"/>
        <v>0.25</v>
      </c>
      <c r="P234" s="699" t="s">
        <v>87</v>
      </c>
      <c r="R234" s="785">
        <v>8</v>
      </c>
      <c r="S234" s="743">
        <v>8</v>
      </c>
      <c r="U234" s="4" t="s">
        <v>754</v>
      </c>
      <c r="AJ234" s="700"/>
      <c r="AK234" s="761"/>
      <c r="AL234" s="702"/>
      <c r="AM234" s="795"/>
      <c r="AN234" s="795"/>
      <c r="AO234" s="795"/>
      <c r="AP234" s="699" t="s">
        <v>87</v>
      </c>
      <c r="AQ234" s="719"/>
    </row>
    <row r="235" spans="1:43" ht="14.25" x14ac:dyDescent="0.2">
      <c r="A235" s="641" t="s">
        <v>923</v>
      </c>
      <c r="B235" s="169">
        <v>10</v>
      </c>
      <c r="C235" s="285" t="str">
        <f t="shared" si="46"/>
        <v>-</v>
      </c>
      <c r="D235" s="739" t="str">
        <f t="shared" si="47"/>
        <v>-</v>
      </c>
      <c r="E235" s="794" t="s">
        <v>90</v>
      </c>
      <c r="F235" s="794" t="s">
        <v>90</v>
      </c>
      <c r="G235" s="794" t="s">
        <v>90</v>
      </c>
      <c r="H235" s="137" t="s">
        <v>90</v>
      </c>
      <c r="I235" s="794" t="s">
        <v>90</v>
      </c>
      <c r="J235" s="137" t="s">
        <v>90</v>
      </c>
      <c r="K235" s="786" t="s">
        <v>709</v>
      </c>
      <c r="L235" s="788">
        <f t="shared" si="48"/>
        <v>0.25</v>
      </c>
      <c r="M235" s="788">
        <f t="shared" si="49"/>
        <v>0.25</v>
      </c>
      <c r="N235" s="788">
        <f t="shared" si="50"/>
        <v>0.25</v>
      </c>
      <c r="P235" s="699" t="s">
        <v>87</v>
      </c>
      <c r="R235" s="785">
        <v>2</v>
      </c>
      <c r="S235" s="743">
        <v>3</v>
      </c>
      <c r="U235" s="4" t="s">
        <v>749</v>
      </c>
      <c r="AJ235" s="700"/>
      <c r="AK235" s="761"/>
      <c r="AL235" s="702"/>
      <c r="AM235" s="795"/>
      <c r="AN235" s="795"/>
      <c r="AO235" s="795"/>
      <c r="AP235" s="699" t="s">
        <v>87</v>
      </c>
      <c r="AQ235" s="719"/>
    </row>
    <row r="236" spans="1:43" ht="14.25" x14ac:dyDescent="0.2">
      <c r="A236" s="641" t="s">
        <v>924</v>
      </c>
      <c r="B236" s="169">
        <v>11</v>
      </c>
      <c r="C236" s="285" t="str">
        <f t="shared" si="46"/>
        <v>-</v>
      </c>
      <c r="D236" s="739" t="str">
        <f t="shared" si="47"/>
        <v>-</v>
      </c>
      <c r="E236" s="794" t="s">
        <v>90</v>
      </c>
      <c r="F236" s="794" t="s">
        <v>90</v>
      </c>
      <c r="G236" s="794" t="s">
        <v>90</v>
      </c>
      <c r="H236" s="137" t="s">
        <v>90</v>
      </c>
      <c r="I236" s="794" t="s">
        <v>90</v>
      </c>
      <c r="J236" s="137" t="s">
        <v>90</v>
      </c>
      <c r="K236" s="786" t="s">
        <v>709</v>
      </c>
      <c r="L236" s="788">
        <f t="shared" si="48"/>
        <v>0.25</v>
      </c>
      <c r="M236" s="788">
        <f t="shared" si="49"/>
        <v>0.25</v>
      </c>
      <c r="N236" s="788">
        <f t="shared" si="50"/>
        <v>0.25</v>
      </c>
      <c r="P236" s="699" t="s">
        <v>87</v>
      </c>
      <c r="R236" s="785">
        <v>2</v>
      </c>
      <c r="S236" s="743">
        <v>3</v>
      </c>
      <c r="U236" s="4" t="s">
        <v>749</v>
      </c>
      <c r="AJ236" s="700"/>
      <c r="AK236" s="761"/>
      <c r="AL236" s="702"/>
      <c r="AM236" s="795"/>
      <c r="AN236" s="795"/>
      <c r="AO236" s="795"/>
      <c r="AP236" s="699" t="s">
        <v>87</v>
      </c>
      <c r="AQ236" s="719"/>
    </row>
    <row r="237" spans="1:43" ht="14.25" x14ac:dyDescent="0.2">
      <c r="A237" s="641" t="s">
        <v>925</v>
      </c>
      <c r="B237" s="169">
        <v>12</v>
      </c>
      <c r="C237" s="285" t="str">
        <f t="shared" si="46"/>
        <v>-</v>
      </c>
      <c r="D237" s="739" t="str">
        <f t="shared" si="47"/>
        <v>-</v>
      </c>
      <c r="E237" s="794" t="s">
        <v>90</v>
      </c>
      <c r="F237" s="794" t="s">
        <v>90</v>
      </c>
      <c r="G237" s="794" t="s">
        <v>90</v>
      </c>
      <c r="H237" s="137" t="s">
        <v>90</v>
      </c>
      <c r="I237" s="794" t="s">
        <v>90</v>
      </c>
      <c r="J237" s="137" t="s">
        <v>90</v>
      </c>
      <c r="K237" s="786" t="s">
        <v>710</v>
      </c>
      <c r="L237" s="788">
        <f t="shared" si="48"/>
        <v>0.25</v>
      </c>
      <c r="M237" s="788">
        <f t="shared" si="49"/>
        <v>0.25</v>
      </c>
      <c r="N237" s="788">
        <f t="shared" si="50"/>
        <v>0.75</v>
      </c>
      <c r="P237" s="699" t="s">
        <v>87</v>
      </c>
      <c r="R237" s="785">
        <v>2</v>
      </c>
      <c r="S237" s="743">
        <v>3</v>
      </c>
      <c r="U237" s="4" t="s">
        <v>754</v>
      </c>
      <c r="AJ237" s="700"/>
      <c r="AK237" s="761"/>
      <c r="AL237" s="702"/>
      <c r="AM237" s="795"/>
      <c r="AN237" s="795"/>
      <c r="AO237" s="795"/>
      <c r="AP237" s="699" t="s">
        <v>87</v>
      </c>
      <c r="AQ237" s="719"/>
    </row>
    <row r="238" spans="1:43" ht="14.25" x14ac:dyDescent="0.2">
      <c r="A238" s="641" t="s">
        <v>926</v>
      </c>
      <c r="B238" s="169">
        <v>13</v>
      </c>
      <c r="C238" s="285" t="str">
        <f t="shared" si="46"/>
        <v>-</v>
      </c>
      <c r="D238" s="739" t="str">
        <f t="shared" si="47"/>
        <v>-</v>
      </c>
      <c r="E238" s="794" t="s">
        <v>90</v>
      </c>
      <c r="F238" s="794" t="s">
        <v>90</v>
      </c>
      <c r="G238" s="794" t="s">
        <v>90</v>
      </c>
      <c r="H238" s="137" t="s">
        <v>90</v>
      </c>
      <c r="I238" s="794" t="s">
        <v>90</v>
      </c>
      <c r="J238" s="137" t="s">
        <v>90</v>
      </c>
      <c r="K238" s="786" t="s">
        <v>710</v>
      </c>
      <c r="L238" s="788">
        <f t="shared" si="48"/>
        <v>0.25</v>
      </c>
      <c r="M238" s="788">
        <f t="shared" si="49"/>
        <v>0.25</v>
      </c>
      <c r="N238" s="788">
        <f t="shared" si="50"/>
        <v>0.75</v>
      </c>
      <c r="P238" s="699" t="s">
        <v>87</v>
      </c>
      <c r="R238" s="785">
        <v>2</v>
      </c>
      <c r="S238" s="743">
        <v>3</v>
      </c>
      <c r="U238" s="4" t="s">
        <v>754</v>
      </c>
      <c r="AJ238" s="700"/>
      <c r="AK238" s="761"/>
      <c r="AL238" s="702"/>
      <c r="AM238" s="795"/>
      <c r="AN238" s="795"/>
      <c r="AO238" s="795"/>
      <c r="AP238" s="699" t="s">
        <v>87</v>
      </c>
      <c r="AQ238" s="719"/>
    </row>
    <row r="239" spans="1:43" ht="14.25" x14ac:dyDescent="0.2">
      <c r="A239" s="641" t="s">
        <v>927</v>
      </c>
      <c r="B239" s="169">
        <v>14</v>
      </c>
      <c r="C239" s="285" t="str">
        <f t="shared" si="46"/>
        <v>-</v>
      </c>
      <c r="D239" s="739" t="str">
        <f t="shared" si="47"/>
        <v>-</v>
      </c>
      <c r="E239" s="794" t="s">
        <v>90</v>
      </c>
      <c r="F239" s="794" t="s">
        <v>90</v>
      </c>
      <c r="G239" s="794" t="s">
        <v>90</v>
      </c>
      <c r="H239" s="137" t="s">
        <v>90</v>
      </c>
      <c r="I239" s="794" t="s">
        <v>90</v>
      </c>
      <c r="J239" s="137" t="s">
        <v>90</v>
      </c>
      <c r="K239" s="786" t="s">
        <v>710</v>
      </c>
      <c r="L239" s="788">
        <f t="shared" si="48"/>
        <v>0.35</v>
      </c>
      <c r="M239" s="788">
        <f t="shared" si="49"/>
        <v>0.35</v>
      </c>
      <c r="N239" s="788">
        <f t="shared" si="50"/>
        <v>0.75</v>
      </c>
      <c r="P239" s="699" t="s">
        <v>87</v>
      </c>
      <c r="R239" s="785">
        <v>4</v>
      </c>
      <c r="S239" s="743">
        <v>5</v>
      </c>
      <c r="U239" s="4" t="s">
        <v>751</v>
      </c>
      <c r="AJ239" s="700"/>
      <c r="AK239" s="761"/>
      <c r="AL239" s="702"/>
      <c r="AM239" s="795"/>
      <c r="AN239" s="795"/>
      <c r="AO239" s="795"/>
      <c r="AP239" s="699" t="s">
        <v>87</v>
      </c>
      <c r="AQ239" s="719"/>
    </row>
    <row r="240" spans="1:43" ht="14.25" x14ac:dyDescent="0.2">
      <c r="A240" s="641" t="s">
        <v>928</v>
      </c>
      <c r="B240" s="169">
        <v>15</v>
      </c>
      <c r="C240" s="285" t="str">
        <f t="shared" si="46"/>
        <v>-</v>
      </c>
      <c r="D240" s="739" t="str">
        <f t="shared" si="47"/>
        <v>-</v>
      </c>
      <c r="E240" s="794" t="s">
        <v>90</v>
      </c>
      <c r="F240" s="794" t="s">
        <v>90</v>
      </c>
      <c r="G240" s="794" t="s">
        <v>90</v>
      </c>
      <c r="H240" s="137" t="s">
        <v>90</v>
      </c>
      <c r="I240" s="794" t="s">
        <v>90</v>
      </c>
      <c r="J240" s="137" t="s">
        <v>90</v>
      </c>
      <c r="K240" s="786" t="s">
        <v>710</v>
      </c>
      <c r="L240" s="788">
        <f t="shared" si="48"/>
        <v>0.35</v>
      </c>
      <c r="M240" s="788">
        <f t="shared" si="49"/>
        <v>0.35</v>
      </c>
      <c r="N240" s="788">
        <f t="shared" si="50"/>
        <v>0.75</v>
      </c>
      <c r="P240" s="699" t="s">
        <v>87</v>
      </c>
      <c r="R240" s="785">
        <v>4</v>
      </c>
      <c r="S240" s="743">
        <v>5</v>
      </c>
      <c r="U240" s="4" t="s">
        <v>751</v>
      </c>
      <c r="AJ240" s="700"/>
      <c r="AK240" s="761"/>
      <c r="AL240" s="702"/>
      <c r="AM240" s="795"/>
      <c r="AN240" s="795"/>
      <c r="AO240" s="795"/>
      <c r="AP240" s="699" t="s">
        <v>87</v>
      </c>
      <c r="AQ240" s="719"/>
    </row>
    <row r="241" spans="1:43" ht="14.25" x14ac:dyDescent="0.2">
      <c r="A241" s="641" t="s">
        <v>929</v>
      </c>
      <c r="B241" s="169">
        <v>16</v>
      </c>
      <c r="C241" s="285" t="str">
        <f t="shared" si="46"/>
        <v>-</v>
      </c>
      <c r="D241" s="739" t="str">
        <f t="shared" si="47"/>
        <v>-</v>
      </c>
      <c r="E241" s="794" t="s">
        <v>90</v>
      </c>
      <c r="F241" s="794" t="s">
        <v>90</v>
      </c>
      <c r="G241" s="794" t="s">
        <v>90</v>
      </c>
      <c r="H241" s="137" t="s">
        <v>90</v>
      </c>
      <c r="I241" s="794" t="s">
        <v>90</v>
      </c>
      <c r="J241" s="137" t="s">
        <v>90</v>
      </c>
      <c r="K241" s="786" t="s">
        <v>709</v>
      </c>
      <c r="L241" s="788">
        <f t="shared" si="48"/>
        <v>0.7</v>
      </c>
      <c r="M241" s="788">
        <f t="shared" si="49"/>
        <v>0.5</v>
      </c>
      <c r="N241" s="788">
        <f t="shared" si="50"/>
        <v>0.25</v>
      </c>
      <c r="P241" s="699" t="s">
        <v>87</v>
      </c>
      <c r="R241" s="785">
        <v>8</v>
      </c>
      <c r="S241" s="743">
        <v>8</v>
      </c>
      <c r="U241" s="4" t="s">
        <v>749</v>
      </c>
      <c r="AJ241" s="700"/>
      <c r="AK241" s="761"/>
      <c r="AL241" s="702"/>
      <c r="AM241" s="795"/>
      <c r="AN241" s="795"/>
      <c r="AO241" s="795"/>
      <c r="AP241" s="699" t="s">
        <v>87</v>
      </c>
      <c r="AQ241" s="719"/>
    </row>
    <row r="242" spans="1:43" ht="14.25" x14ac:dyDescent="0.2">
      <c r="A242" s="641" t="s">
        <v>930</v>
      </c>
      <c r="B242" s="169">
        <v>17</v>
      </c>
      <c r="C242" s="285" t="str">
        <f t="shared" si="46"/>
        <v>-</v>
      </c>
      <c r="D242" s="739" t="str">
        <f t="shared" si="47"/>
        <v>-</v>
      </c>
      <c r="E242" s="794" t="s">
        <v>90</v>
      </c>
      <c r="F242" s="794" t="s">
        <v>90</v>
      </c>
      <c r="G242" s="794" t="s">
        <v>90</v>
      </c>
      <c r="H242" s="137" t="s">
        <v>90</v>
      </c>
      <c r="I242" s="794" t="s">
        <v>90</v>
      </c>
      <c r="J242" s="137" t="s">
        <v>90</v>
      </c>
      <c r="K242" s="786" t="s">
        <v>709</v>
      </c>
      <c r="L242" s="788">
        <f t="shared" si="48"/>
        <v>0.7</v>
      </c>
      <c r="M242" s="788">
        <f t="shared" si="49"/>
        <v>0.5</v>
      </c>
      <c r="N242" s="788">
        <f t="shared" si="50"/>
        <v>0.25</v>
      </c>
      <c r="P242" s="699" t="s">
        <v>87</v>
      </c>
      <c r="R242" s="785">
        <v>8</v>
      </c>
      <c r="S242" s="743">
        <v>8</v>
      </c>
      <c r="U242" s="4" t="s">
        <v>749</v>
      </c>
      <c r="AJ242" s="700"/>
      <c r="AK242" s="761"/>
      <c r="AL242" s="702"/>
      <c r="AM242" s="795"/>
      <c r="AN242" s="795"/>
      <c r="AO242" s="795"/>
      <c r="AP242" s="699" t="s">
        <v>87</v>
      </c>
      <c r="AQ242" s="719"/>
    </row>
    <row r="243" spans="1:43" ht="14.25" x14ac:dyDescent="0.2">
      <c r="A243" s="641" t="s">
        <v>931</v>
      </c>
      <c r="B243" s="169">
        <v>18</v>
      </c>
      <c r="C243" s="285" t="str">
        <f t="shared" si="46"/>
        <v>-</v>
      </c>
      <c r="D243" s="739" t="str">
        <f t="shared" si="47"/>
        <v>-</v>
      </c>
      <c r="E243" s="794" t="s">
        <v>90</v>
      </c>
      <c r="F243" s="794" t="s">
        <v>90</v>
      </c>
      <c r="G243" s="794" t="s">
        <v>90</v>
      </c>
      <c r="H243" s="137" t="s">
        <v>90</v>
      </c>
      <c r="I243" s="794" t="s">
        <v>90</v>
      </c>
      <c r="J243" s="137" t="s">
        <v>90</v>
      </c>
      <c r="K243" s="786" t="s">
        <v>707</v>
      </c>
      <c r="L243" s="788">
        <f t="shared" si="48"/>
        <v>0.7</v>
      </c>
      <c r="M243" s="788">
        <f t="shared" si="49"/>
        <v>0.5</v>
      </c>
      <c r="N243" s="788">
        <f t="shared" si="50"/>
        <v>0.75</v>
      </c>
      <c r="P243" s="699" t="s">
        <v>87</v>
      </c>
      <c r="R243" s="785">
        <v>8</v>
      </c>
      <c r="S243" s="743">
        <v>8</v>
      </c>
      <c r="U243" s="4" t="s">
        <v>754</v>
      </c>
      <c r="AJ243" s="700"/>
      <c r="AK243" s="761"/>
      <c r="AL243" s="702"/>
      <c r="AM243" s="795"/>
      <c r="AN243" s="795"/>
      <c r="AO243" s="795"/>
      <c r="AP243" s="699" t="s">
        <v>87</v>
      </c>
      <c r="AQ243" s="719"/>
    </row>
    <row r="244" spans="1:43" ht="14.25" x14ac:dyDescent="0.2">
      <c r="A244" s="641" t="s">
        <v>700</v>
      </c>
      <c r="B244" s="169">
        <v>19</v>
      </c>
      <c r="C244" s="285" t="str">
        <f t="shared" si="46"/>
        <v>-</v>
      </c>
      <c r="D244" s="739" t="str">
        <f t="shared" si="47"/>
        <v>-</v>
      </c>
      <c r="E244" s="794" t="s">
        <v>90</v>
      </c>
      <c r="F244" s="794" t="s">
        <v>90</v>
      </c>
      <c r="G244" s="794" t="s">
        <v>90</v>
      </c>
      <c r="H244" s="137" t="s">
        <v>90</v>
      </c>
      <c r="I244" s="794" t="s">
        <v>90</v>
      </c>
      <c r="J244" s="137" t="s">
        <v>90</v>
      </c>
      <c r="K244" s="786" t="s">
        <v>707</v>
      </c>
      <c r="L244" s="788">
        <f t="shared" si="48"/>
        <v>0.7</v>
      </c>
      <c r="M244" s="788">
        <f t="shared" si="49"/>
        <v>0.5</v>
      </c>
      <c r="N244" s="788">
        <f t="shared" si="50"/>
        <v>0.75</v>
      </c>
      <c r="P244" s="699" t="s">
        <v>87</v>
      </c>
      <c r="R244" s="785">
        <v>8</v>
      </c>
      <c r="S244" s="743">
        <v>8</v>
      </c>
      <c r="U244" s="4" t="s">
        <v>754</v>
      </c>
      <c r="AJ244" s="700"/>
      <c r="AK244" s="761"/>
      <c r="AL244" s="702"/>
      <c r="AM244" s="795"/>
      <c r="AN244" s="795"/>
      <c r="AO244" s="795"/>
      <c r="AP244" s="699" t="s">
        <v>87</v>
      </c>
      <c r="AQ244" s="719"/>
    </row>
    <row r="245" spans="1:43" ht="14.25" x14ac:dyDescent="0.2">
      <c r="A245" s="641" t="s">
        <v>932</v>
      </c>
      <c r="B245" s="169">
        <v>20</v>
      </c>
      <c r="C245" s="285" t="str">
        <f t="shared" si="46"/>
        <v>-</v>
      </c>
      <c r="D245" s="739" t="str">
        <f t="shared" si="47"/>
        <v>-</v>
      </c>
      <c r="E245" s="794" t="s">
        <v>90</v>
      </c>
      <c r="F245" s="794" t="s">
        <v>90</v>
      </c>
      <c r="G245" s="794" t="s">
        <v>90</v>
      </c>
      <c r="H245" s="137" t="s">
        <v>90</v>
      </c>
      <c r="I245" s="794" t="s">
        <v>90</v>
      </c>
      <c r="J245" s="137" t="s">
        <v>90</v>
      </c>
      <c r="K245" s="786" t="s">
        <v>709</v>
      </c>
      <c r="L245" s="788">
        <f t="shared" si="48"/>
        <v>0.45</v>
      </c>
      <c r="M245" s="788">
        <f t="shared" si="49"/>
        <v>0.45</v>
      </c>
      <c r="N245" s="788">
        <f t="shared" si="50"/>
        <v>0.25</v>
      </c>
      <c r="P245" s="699" t="s">
        <v>87</v>
      </c>
      <c r="R245" s="785">
        <v>5</v>
      </c>
      <c r="S245" s="743">
        <v>7</v>
      </c>
      <c r="U245" s="4" t="s">
        <v>749</v>
      </c>
      <c r="AJ245" s="700"/>
      <c r="AK245" s="761"/>
      <c r="AL245" s="702"/>
      <c r="AM245" s="795"/>
      <c r="AN245" s="795"/>
      <c r="AO245" s="795"/>
      <c r="AP245" s="699" t="s">
        <v>87</v>
      </c>
      <c r="AQ245" s="719"/>
    </row>
    <row r="246" spans="1:43" ht="14.25" x14ac:dyDescent="0.2">
      <c r="A246" s="641" t="s">
        <v>933</v>
      </c>
      <c r="B246" s="169">
        <v>21</v>
      </c>
      <c r="C246" s="285" t="str">
        <f t="shared" si="46"/>
        <v>-</v>
      </c>
      <c r="D246" s="739" t="str">
        <f t="shared" si="47"/>
        <v>-</v>
      </c>
      <c r="E246" s="794" t="s">
        <v>90</v>
      </c>
      <c r="F246" s="794" t="s">
        <v>90</v>
      </c>
      <c r="G246" s="794" t="s">
        <v>90</v>
      </c>
      <c r="H246" s="137" t="s">
        <v>90</v>
      </c>
      <c r="I246" s="794" t="s">
        <v>90</v>
      </c>
      <c r="J246" s="137" t="s">
        <v>90</v>
      </c>
      <c r="K246" s="786" t="s">
        <v>350</v>
      </c>
      <c r="L246" s="788">
        <f t="shared" si="48"/>
        <v>0.15</v>
      </c>
      <c r="M246" s="788">
        <f t="shared" si="49"/>
        <v>0.1</v>
      </c>
      <c r="N246" s="788">
        <f t="shared" si="50"/>
        <v>0.5</v>
      </c>
      <c r="P246" s="699" t="s">
        <v>87</v>
      </c>
      <c r="R246" s="785">
        <v>1</v>
      </c>
      <c r="S246" s="743">
        <v>1</v>
      </c>
      <c r="U246" s="4" t="s">
        <v>749</v>
      </c>
      <c r="AJ246" s="700"/>
      <c r="AK246" s="761"/>
      <c r="AL246" s="702"/>
      <c r="AM246" s="795"/>
      <c r="AN246" s="795"/>
      <c r="AO246" s="795"/>
      <c r="AP246" s="699" t="s">
        <v>87</v>
      </c>
      <c r="AQ246" s="719"/>
    </row>
    <row r="247" spans="1:43" ht="14.25" x14ac:dyDescent="0.2">
      <c r="A247" s="641" t="s">
        <v>934</v>
      </c>
      <c r="B247" s="169">
        <v>22</v>
      </c>
      <c r="C247" s="285" t="str">
        <f t="shared" si="46"/>
        <v>-</v>
      </c>
      <c r="D247" s="739" t="str">
        <f t="shared" si="47"/>
        <v>-</v>
      </c>
      <c r="E247" s="794" t="s">
        <v>90</v>
      </c>
      <c r="F247" s="794" t="s">
        <v>90</v>
      </c>
      <c r="G247" s="794" t="s">
        <v>90</v>
      </c>
      <c r="H247" s="137" t="s">
        <v>90</v>
      </c>
      <c r="I247" s="794" t="s">
        <v>90</v>
      </c>
      <c r="J247" s="137" t="s">
        <v>90</v>
      </c>
      <c r="K247" s="786" t="s">
        <v>709</v>
      </c>
      <c r="L247" s="788">
        <f t="shared" si="48"/>
        <v>0.35</v>
      </c>
      <c r="M247" s="788">
        <f t="shared" si="49"/>
        <v>0.35</v>
      </c>
      <c r="N247" s="788">
        <f t="shared" si="50"/>
        <v>0.25</v>
      </c>
      <c r="P247" s="699" t="s">
        <v>87</v>
      </c>
      <c r="R247" s="785">
        <v>4</v>
      </c>
      <c r="S247" s="743">
        <v>5</v>
      </c>
      <c r="U247" s="4" t="s">
        <v>754</v>
      </c>
      <c r="AJ247" s="700"/>
      <c r="AK247" s="761"/>
      <c r="AL247" s="702"/>
      <c r="AM247" s="795"/>
      <c r="AN247" s="795"/>
      <c r="AO247" s="795"/>
      <c r="AP247" s="699" t="s">
        <v>87</v>
      </c>
      <c r="AQ247" s="719"/>
    </row>
    <row r="248" spans="1:43" ht="14.25" x14ac:dyDescent="0.2">
      <c r="A248" s="641" t="s">
        <v>935</v>
      </c>
      <c r="B248" s="169">
        <v>23</v>
      </c>
      <c r="C248" s="285" t="str">
        <f t="shared" si="46"/>
        <v>-</v>
      </c>
      <c r="D248" s="739" t="str">
        <f t="shared" si="47"/>
        <v>-</v>
      </c>
      <c r="E248" s="794" t="s">
        <v>90</v>
      </c>
      <c r="F248" s="794" t="s">
        <v>90</v>
      </c>
      <c r="G248" s="794" t="s">
        <v>90</v>
      </c>
      <c r="H248" s="137" t="s">
        <v>90</v>
      </c>
      <c r="I248" s="794" t="s">
        <v>90</v>
      </c>
      <c r="J248" s="137" t="s">
        <v>90</v>
      </c>
      <c r="K248" s="786" t="s">
        <v>709</v>
      </c>
      <c r="L248" s="788">
        <f t="shared" si="48"/>
        <v>0.5</v>
      </c>
      <c r="M248" s="788">
        <f t="shared" si="49"/>
        <v>0.5</v>
      </c>
      <c r="N248" s="788">
        <f t="shared" si="50"/>
        <v>0.25</v>
      </c>
      <c r="P248" s="699" t="s">
        <v>87</v>
      </c>
      <c r="R248" s="785">
        <v>6</v>
      </c>
      <c r="S248" s="743">
        <v>8</v>
      </c>
      <c r="U248" s="4" t="s">
        <v>754</v>
      </c>
      <c r="AJ248" s="700"/>
      <c r="AK248" s="761"/>
      <c r="AL248" s="702"/>
      <c r="AM248" s="795"/>
      <c r="AN248" s="795"/>
      <c r="AO248" s="795"/>
      <c r="AP248" s="699" t="s">
        <v>87</v>
      </c>
      <c r="AQ248" s="719"/>
    </row>
    <row r="249" spans="1:43" ht="14.25" x14ac:dyDescent="0.2">
      <c r="A249" s="641" t="s">
        <v>936</v>
      </c>
      <c r="B249" s="169">
        <v>24</v>
      </c>
      <c r="C249" s="285" t="str">
        <f t="shared" si="46"/>
        <v>-</v>
      </c>
      <c r="D249" s="739" t="str">
        <f t="shared" si="47"/>
        <v>-</v>
      </c>
      <c r="E249" s="794" t="s">
        <v>90</v>
      </c>
      <c r="F249" s="794" t="s">
        <v>90</v>
      </c>
      <c r="G249" s="794" t="s">
        <v>90</v>
      </c>
      <c r="H249" s="137" t="s">
        <v>90</v>
      </c>
      <c r="I249" s="794" t="s">
        <v>90</v>
      </c>
      <c r="J249" s="137" t="s">
        <v>90</v>
      </c>
      <c r="K249" s="786" t="s">
        <v>709</v>
      </c>
      <c r="L249" s="788">
        <f t="shared" si="48"/>
        <v>0.5</v>
      </c>
      <c r="M249" s="788">
        <f t="shared" si="49"/>
        <v>0.5</v>
      </c>
      <c r="N249" s="788">
        <f t="shared" si="50"/>
        <v>0.25</v>
      </c>
      <c r="P249" s="699" t="s">
        <v>87</v>
      </c>
      <c r="R249" s="785">
        <v>6</v>
      </c>
      <c r="S249" s="743">
        <v>8</v>
      </c>
      <c r="U249" s="4" t="s">
        <v>754</v>
      </c>
      <c r="AJ249" s="700"/>
      <c r="AK249" s="761"/>
      <c r="AL249" s="702"/>
      <c r="AM249" s="795"/>
      <c r="AN249" s="795"/>
      <c r="AO249" s="795"/>
      <c r="AP249" s="699" t="s">
        <v>87</v>
      </c>
      <c r="AQ249" s="719"/>
    </row>
    <row r="250" spans="1:43" ht="14.25" x14ac:dyDescent="0.2">
      <c r="A250" s="641" t="s">
        <v>937</v>
      </c>
      <c r="B250" s="169">
        <v>25</v>
      </c>
      <c r="C250" s="285" t="str">
        <f t="shared" si="46"/>
        <v>-</v>
      </c>
      <c r="D250" s="739" t="str">
        <f t="shared" si="47"/>
        <v>-</v>
      </c>
      <c r="E250" s="794" t="s">
        <v>90</v>
      </c>
      <c r="F250" s="794" t="s">
        <v>90</v>
      </c>
      <c r="G250" s="794" t="s">
        <v>90</v>
      </c>
      <c r="H250" s="137" t="s">
        <v>90</v>
      </c>
      <c r="I250" s="794" t="s">
        <v>90</v>
      </c>
      <c r="J250" s="137" t="s">
        <v>90</v>
      </c>
      <c r="K250" s="786" t="s">
        <v>709</v>
      </c>
      <c r="L250" s="788">
        <f t="shared" si="48"/>
        <v>0.7</v>
      </c>
      <c r="M250" s="788">
        <f t="shared" si="49"/>
        <v>0.5</v>
      </c>
      <c r="N250" s="788">
        <f t="shared" si="50"/>
        <v>0.25</v>
      </c>
      <c r="P250" s="699" t="s">
        <v>87</v>
      </c>
      <c r="R250" s="785">
        <v>8</v>
      </c>
      <c r="S250" s="743">
        <v>8</v>
      </c>
      <c r="U250" s="4" t="s">
        <v>754</v>
      </c>
      <c r="AJ250" s="700"/>
      <c r="AK250" s="761"/>
      <c r="AL250" s="702"/>
      <c r="AM250" s="795"/>
      <c r="AN250" s="795"/>
      <c r="AO250" s="795"/>
      <c r="AP250" s="699" t="s">
        <v>87</v>
      </c>
      <c r="AQ250" s="719"/>
    </row>
    <row r="251" spans="1:43" ht="14.25" x14ac:dyDescent="0.2">
      <c r="A251" s="641" t="s">
        <v>938</v>
      </c>
      <c r="B251" s="169">
        <v>26</v>
      </c>
      <c r="C251" s="285" t="str">
        <f t="shared" si="46"/>
        <v>-</v>
      </c>
      <c r="D251" s="739" t="str">
        <f t="shared" si="47"/>
        <v>-</v>
      </c>
      <c r="E251" s="794" t="s">
        <v>90</v>
      </c>
      <c r="F251" s="794" t="s">
        <v>90</v>
      </c>
      <c r="G251" s="794" t="s">
        <v>90</v>
      </c>
      <c r="H251" s="137" t="s">
        <v>90</v>
      </c>
      <c r="I251" s="794" t="s">
        <v>90</v>
      </c>
      <c r="J251" s="137" t="s">
        <v>90</v>
      </c>
      <c r="K251" s="786" t="s">
        <v>709</v>
      </c>
      <c r="L251" s="788">
        <f t="shared" si="48"/>
        <v>0.7</v>
      </c>
      <c r="M251" s="788">
        <f t="shared" si="49"/>
        <v>0.5</v>
      </c>
      <c r="N251" s="788">
        <f t="shared" si="50"/>
        <v>0.25</v>
      </c>
      <c r="P251" s="699" t="s">
        <v>87</v>
      </c>
      <c r="R251" s="785">
        <v>8</v>
      </c>
      <c r="S251" s="743">
        <v>8</v>
      </c>
      <c r="U251" s="4" t="s">
        <v>754</v>
      </c>
      <c r="AJ251" s="700"/>
      <c r="AK251" s="761"/>
      <c r="AL251" s="702"/>
      <c r="AM251" s="795"/>
      <c r="AN251" s="795"/>
      <c r="AO251" s="795"/>
      <c r="AP251" s="699" t="s">
        <v>87</v>
      </c>
      <c r="AQ251" s="719"/>
    </row>
    <row r="252" spans="1:43" ht="14.25" x14ac:dyDescent="0.2">
      <c r="A252" s="97" t="s">
        <v>903</v>
      </c>
      <c r="B252" s="162">
        <v>27</v>
      </c>
      <c r="C252" s="153" t="str">
        <f t="shared" si="46"/>
        <v>-</v>
      </c>
      <c r="D252" s="756" t="str">
        <f t="shared" si="47"/>
        <v>-</v>
      </c>
      <c r="E252" s="796" t="s">
        <v>90</v>
      </c>
      <c r="F252" s="796" t="s">
        <v>90</v>
      </c>
      <c r="G252" s="796" t="s">
        <v>90</v>
      </c>
      <c r="H252" s="139" t="s">
        <v>90</v>
      </c>
      <c r="I252" s="796" t="s">
        <v>90</v>
      </c>
      <c r="J252" s="139" t="s">
        <v>90</v>
      </c>
      <c r="K252" s="789" t="s">
        <v>350</v>
      </c>
      <c r="L252" s="791">
        <f t="shared" si="48"/>
        <v>0.15</v>
      </c>
      <c r="M252" s="791">
        <f t="shared" si="49"/>
        <v>0.1</v>
      </c>
      <c r="N252" s="791">
        <f t="shared" si="50"/>
        <v>0.5</v>
      </c>
      <c r="P252" s="699" t="s">
        <v>87</v>
      </c>
      <c r="R252" s="792">
        <v>1</v>
      </c>
      <c r="S252" s="762">
        <v>1</v>
      </c>
      <c r="U252" s="4" t="s">
        <v>749</v>
      </c>
      <c r="AJ252" s="700"/>
      <c r="AK252" s="761"/>
      <c r="AL252" s="702"/>
      <c r="AM252" s="795"/>
      <c r="AN252" s="795"/>
      <c r="AO252" s="795"/>
      <c r="AP252" s="699" t="s">
        <v>87</v>
      </c>
      <c r="AQ252" s="719"/>
    </row>
    <row r="253" spans="1:43" ht="14.25" x14ac:dyDescent="0.2">
      <c r="P253" s="699" t="s">
        <v>87</v>
      </c>
      <c r="AJ253" s="700"/>
      <c r="AK253" s="761"/>
      <c r="AL253" s="702"/>
      <c r="AM253" s="795"/>
      <c r="AN253" s="795"/>
      <c r="AO253" s="795"/>
      <c r="AP253" s="699" t="s">
        <v>87</v>
      </c>
      <c r="AQ253" s="719"/>
    </row>
    <row r="254" spans="1:43" ht="14.25" x14ac:dyDescent="0.2">
      <c r="A254" s="793" t="str">
        <f>$A$17</f>
        <v>Detailed information for</v>
      </c>
      <c r="B254" s="764"/>
      <c r="C254" s="765" t="s">
        <v>731</v>
      </c>
      <c r="D254" s="766" t="s">
        <v>732</v>
      </c>
      <c r="E254" s="767"/>
      <c r="F254" s="767"/>
      <c r="G254" s="768"/>
      <c r="H254" s="769" t="s">
        <v>733</v>
      </c>
      <c r="I254" s="770"/>
      <c r="J254" s="770"/>
      <c r="K254" s="771" t="s">
        <v>33</v>
      </c>
      <c r="L254" s="772" t="s">
        <v>734</v>
      </c>
      <c r="M254" s="770"/>
      <c r="N254" s="770"/>
      <c r="P254" s="699" t="s">
        <v>87</v>
      </c>
      <c r="R254" s="773" t="s">
        <v>735</v>
      </c>
      <c r="S254" s="770"/>
      <c r="AP254" s="699" t="s">
        <v>87</v>
      </c>
    </row>
    <row r="255" spans="1:43" ht="15" x14ac:dyDescent="0.25">
      <c r="A255" s="774" t="s">
        <v>725</v>
      </c>
      <c r="B255" s="775"/>
      <c r="C255" s="776" t="s">
        <v>736</v>
      </c>
      <c r="D255" s="777" t="s">
        <v>173</v>
      </c>
      <c r="E255" s="777" t="s">
        <v>737</v>
      </c>
      <c r="F255" s="777" t="s">
        <v>738</v>
      </c>
      <c r="G255" s="777" t="s">
        <v>739</v>
      </c>
      <c r="H255" s="777" t="s">
        <v>737</v>
      </c>
      <c r="I255" s="777" t="s">
        <v>738</v>
      </c>
      <c r="J255" s="777" t="s">
        <v>740</v>
      </c>
      <c r="K255" s="778" t="s">
        <v>8</v>
      </c>
      <c r="L255" s="779" t="s">
        <v>741</v>
      </c>
      <c r="M255" s="779" t="s">
        <v>742</v>
      </c>
      <c r="N255" s="780" t="s">
        <v>743</v>
      </c>
      <c r="P255" s="699" t="s">
        <v>87</v>
      </c>
      <c r="R255" s="777" t="s">
        <v>744</v>
      </c>
      <c r="S255" s="777" t="s">
        <v>745</v>
      </c>
      <c r="AP255" s="699" t="s">
        <v>87</v>
      </c>
    </row>
    <row r="256" spans="1:43" ht="14.25" x14ac:dyDescent="0.2">
      <c r="A256" s="662"/>
      <c r="B256" s="104">
        <v>71</v>
      </c>
      <c r="C256" s="167" t="s">
        <v>746</v>
      </c>
      <c r="D256" s="167" t="s">
        <v>747</v>
      </c>
      <c r="E256" s="167">
        <v>3</v>
      </c>
      <c r="F256" s="167">
        <v>4</v>
      </c>
      <c r="G256" s="167">
        <v>5</v>
      </c>
      <c r="H256" s="167">
        <v>6</v>
      </c>
      <c r="I256" s="167">
        <v>7</v>
      </c>
      <c r="J256" s="167">
        <v>8</v>
      </c>
      <c r="K256" s="167"/>
      <c r="L256" s="167"/>
      <c r="M256" s="167"/>
      <c r="N256" s="214"/>
      <c r="P256" s="699" t="s">
        <v>87</v>
      </c>
      <c r="R256" s="781"/>
      <c r="S256" s="106"/>
      <c r="AP256" s="699" t="s">
        <v>87</v>
      </c>
    </row>
    <row r="257" spans="1:42" x14ac:dyDescent="0.2">
      <c r="A257" s="641" t="s">
        <v>195</v>
      </c>
      <c r="B257" s="169">
        <v>1</v>
      </c>
      <c r="C257" s="285" t="str">
        <f t="shared" ref="C257:C278" si="51">IF(OR(D257&lt;&gt;"-",I257&lt;&gt;"-"),SQRT(PRODUCT(L257,SUM(D257))^2+PRODUCT(M257,SUM(I257))^2+2*PRODUCT(N257,L257,SUM(D257),M257,SUM(I257))),"-")</f>
        <v>-</v>
      </c>
      <c r="D257" s="739" t="str">
        <f t="shared" ref="D257:D278" si="52">IF(OR(F257&lt;&gt;"-",G257&lt;&gt;"-"),MAX(SUM(F257),SUM(G257)),"-")</f>
        <v>-</v>
      </c>
      <c r="E257" s="794" t="s">
        <v>90</v>
      </c>
      <c r="F257" s="794" t="s">
        <v>90</v>
      </c>
      <c r="G257" s="794" t="s">
        <v>90</v>
      </c>
      <c r="H257" s="137" t="s">
        <v>90</v>
      </c>
      <c r="I257" s="794" t="s">
        <v>90</v>
      </c>
      <c r="J257" s="137" t="s">
        <v>90</v>
      </c>
      <c r="K257" s="786" t="s">
        <v>709</v>
      </c>
      <c r="L257" s="788">
        <f t="shared" ref="L257:L278" si="53">IFERROR(INDEX(ICS.NL.Buckets.P,R257),"-")</f>
        <v>0.3</v>
      </c>
      <c r="M257" s="788">
        <f t="shared" ref="M257:M278" si="54">IFERROR(INDEX(ICS.NL.Buckets.R,S257),"-")</f>
        <v>0.2</v>
      </c>
      <c r="N257" s="788">
        <f t="shared" ref="N257:N278" si="55">IFERROR(INDEX(ICS.NL.Corr.P_R,MATCH(K257,ICS.NL.CategMapping,0)),1)</f>
        <v>0.25</v>
      </c>
      <c r="P257" s="699" t="s">
        <v>87</v>
      </c>
      <c r="R257" s="785">
        <v>3</v>
      </c>
      <c r="S257" s="743">
        <v>2</v>
      </c>
      <c r="U257" s="4" t="s">
        <v>754</v>
      </c>
      <c r="AP257" s="699" t="s">
        <v>87</v>
      </c>
    </row>
    <row r="258" spans="1:42" x14ac:dyDescent="0.2">
      <c r="A258" s="641" t="s">
        <v>939</v>
      </c>
      <c r="B258" s="169">
        <v>2</v>
      </c>
      <c r="C258" s="285" t="str">
        <f t="shared" si="51"/>
        <v>-</v>
      </c>
      <c r="D258" s="739" t="str">
        <f t="shared" si="52"/>
        <v>-</v>
      </c>
      <c r="E258" s="794" t="s">
        <v>90</v>
      </c>
      <c r="F258" s="794" t="s">
        <v>90</v>
      </c>
      <c r="G258" s="794" t="s">
        <v>90</v>
      </c>
      <c r="H258" s="137" t="s">
        <v>90</v>
      </c>
      <c r="I258" s="794" t="s">
        <v>90</v>
      </c>
      <c r="J258" s="137" t="s">
        <v>90</v>
      </c>
      <c r="K258" s="786" t="s">
        <v>709</v>
      </c>
      <c r="L258" s="788">
        <f t="shared" si="53"/>
        <v>0.3</v>
      </c>
      <c r="M258" s="788">
        <f t="shared" si="54"/>
        <v>0.25</v>
      </c>
      <c r="N258" s="788">
        <f t="shared" si="55"/>
        <v>0.25</v>
      </c>
      <c r="P258" s="699" t="s">
        <v>87</v>
      </c>
      <c r="R258" s="785">
        <v>3</v>
      </c>
      <c r="S258" s="743">
        <v>3</v>
      </c>
      <c r="U258" s="4" t="s">
        <v>749</v>
      </c>
      <c r="AP258" s="699" t="s">
        <v>87</v>
      </c>
    </row>
    <row r="259" spans="1:42" x14ac:dyDescent="0.2">
      <c r="A259" s="641" t="s">
        <v>940</v>
      </c>
      <c r="B259" s="169">
        <v>3</v>
      </c>
      <c r="C259" s="285" t="str">
        <f t="shared" si="51"/>
        <v>-</v>
      </c>
      <c r="D259" s="739" t="str">
        <f t="shared" si="52"/>
        <v>-</v>
      </c>
      <c r="E259" s="794" t="s">
        <v>90</v>
      </c>
      <c r="F259" s="794" t="s">
        <v>90</v>
      </c>
      <c r="G259" s="794" t="s">
        <v>90</v>
      </c>
      <c r="H259" s="137" t="s">
        <v>90</v>
      </c>
      <c r="I259" s="794" t="s">
        <v>90</v>
      </c>
      <c r="J259" s="137" t="s">
        <v>90</v>
      </c>
      <c r="K259" s="786" t="s">
        <v>350</v>
      </c>
      <c r="L259" s="788">
        <f t="shared" si="53"/>
        <v>0.3</v>
      </c>
      <c r="M259" s="788">
        <f t="shared" si="54"/>
        <v>0.25</v>
      </c>
      <c r="N259" s="788">
        <f t="shared" si="55"/>
        <v>0.5</v>
      </c>
      <c r="P259" s="699" t="s">
        <v>87</v>
      </c>
      <c r="R259" s="785">
        <v>3</v>
      </c>
      <c r="S259" s="743">
        <v>3</v>
      </c>
      <c r="U259" s="4" t="s">
        <v>749</v>
      </c>
      <c r="AP259" s="699" t="s">
        <v>87</v>
      </c>
    </row>
    <row r="260" spans="1:42" x14ac:dyDescent="0.2">
      <c r="A260" s="641" t="s">
        <v>941</v>
      </c>
      <c r="B260" s="169">
        <v>4</v>
      </c>
      <c r="C260" s="285" t="str">
        <f t="shared" si="51"/>
        <v>-</v>
      </c>
      <c r="D260" s="739" t="str">
        <f t="shared" si="52"/>
        <v>-</v>
      </c>
      <c r="E260" s="794" t="s">
        <v>90</v>
      </c>
      <c r="F260" s="794" t="s">
        <v>90</v>
      </c>
      <c r="G260" s="794" t="s">
        <v>90</v>
      </c>
      <c r="H260" s="137" t="s">
        <v>90</v>
      </c>
      <c r="I260" s="794" t="s">
        <v>90</v>
      </c>
      <c r="J260" s="137" t="s">
        <v>90</v>
      </c>
      <c r="K260" s="786" t="s">
        <v>350</v>
      </c>
      <c r="L260" s="788">
        <f t="shared" si="53"/>
        <v>0.3</v>
      </c>
      <c r="M260" s="788">
        <f t="shared" si="54"/>
        <v>0.25</v>
      </c>
      <c r="N260" s="788">
        <f t="shared" si="55"/>
        <v>0.5</v>
      </c>
      <c r="P260" s="699" t="s">
        <v>87</v>
      </c>
      <c r="R260" s="785">
        <v>3</v>
      </c>
      <c r="S260" s="743">
        <v>3</v>
      </c>
      <c r="U260" s="4" t="s">
        <v>749</v>
      </c>
      <c r="AP260" s="699" t="s">
        <v>87</v>
      </c>
    </row>
    <row r="261" spans="1:42" x14ac:dyDescent="0.2">
      <c r="A261" s="641" t="s">
        <v>942</v>
      </c>
      <c r="B261" s="169">
        <v>5</v>
      </c>
      <c r="C261" s="285" t="str">
        <f t="shared" si="51"/>
        <v>-</v>
      </c>
      <c r="D261" s="739" t="str">
        <f t="shared" si="52"/>
        <v>-</v>
      </c>
      <c r="E261" s="794" t="s">
        <v>90</v>
      </c>
      <c r="F261" s="794" t="s">
        <v>90</v>
      </c>
      <c r="G261" s="794" t="s">
        <v>90</v>
      </c>
      <c r="H261" s="137" t="s">
        <v>90</v>
      </c>
      <c r="I261" s="794" t="s">
        <v>90</v>
      </c>
      <c r="J261" s="137" t="s">
        <v>90</v>
      </c>
      <c r="K261" s="786" t="s">
        <v>709</v>
      </c>
      <c r="L261" s="788">
        <f t="shared" si="53"/>
        <v>0.3</v>
      </c>
      <c r="M261" s="788">
        <f t="shared" si="54"/>
        <v>0.3</v>
      </c>
      <c r="N261" s="788">
        <f t="shared" si="55"/>
        <v>0.25</v>
      </c>
      <c r="P261" s="699" t="s">
        <v>87</v>
      </c>
      <c r="R261" s="785">
        <v>3</v>
      </c>
      <c r="S261" s="743">
        <v>4</v>
      </c>
      <c r="U261" s="4" t="s">
        <v>754</v>
      </c>
      <c r="AP261" s="699" t="s">
        <v>87</v>
      </c>
    </row>
    <row r="262" spans="1:42" x14ac:dyDescent="0.2">
      <c r="A262" s="641" t="s">
        <v>943</v>
      </c>
      <c r="B262" s="169">
        <v>6</v>
      </c>
      <c r="C262" s="285" t="str">
        <f t="shared" si="51"/>
        <v>-</v>
      </c>
      <c r="D262" s="739" t="str">
        <f t="shared" si="52"/>
        <v>-</v>
      </c>
      <c r="E262" s="794" t="s">
        <v>90</v>
      </c>
      <c r="F262" s="794" t="s">
        <v>90</v>
      </c>
      <c r="G262" s="794" t="s">
        <v>90</v>
      </c>
      <c r="H262" s="137" t="s">
        <v>90</v>
      </c>
      <c r="I262" s="794" t="s">
        <v>90</v>
      </c>
      <c r="J262" s="137" t="s">
        <v>90</v>
      </c>
      <c r="K262" s="786" t="s">
        <v>350</v>
      </c>
      <c r="L262" s="788">
        <f t="shared" si="53"/>
        <v>0.3</v>
      </c>
      <c r="M262" s="788">
        <f t="shared" si="54"/>
        <v>0.3</v>
      </c>
      <c r="N262" s="788">
        <f t="shared" si="55"/>
        <v>0.5</v>
      </c>
      <c r="P262" s="699" t="s">
        <v>87</v>
      </c>
      <c r="R262" s="785">
        <v>3</v>
      </c>
      <c r="S262" s="743">
        <v>4</v>
      </c>
      <c r="U262" s="4" t="s">
        <v>754</v>
      </c>
      <c r="AP262" s="699" t="s">
        <v>87</v>
      </c>
    </row>
    <row r="263" spans="1:42" x14ac:dyDescent="0.2">
      <c r="A263" s="641" t="s">
        <v>944</v>
      </c>
      <c r="B263" s="169">
        <v>7</v>
      </c>
      <c r="C263" s="285" t="str">
        <f t="shared" si="51"/>
        <v>-</v>
      </c>
      <c r="D263" s="739" t="str">
        <f t="shared" si="52"/>
        <v>-</v>
      </c>
      <c r="E263" s="794" t="s">
        <v>90</v>
      </c>
      <c r="F263" s="794" t="s">
        <v>90</v>
      </c>
      <c r="G263" s="794" t="s">
        <v>90</v>
      </c>
      <c r="H263" s="137" t="s">
        <v>90</v>
      </c>
      <c r="I263" s="794" t="s">
        <v>90</v>
      </c>
      <c r="J263" s="137" t="s">
        <v>90</v>
      </c>
      <c r="K263" s="786" t="s">
        <v>710</v>
      </c>
      <c r="L263" s="788">
        <f t="shared" si="53"/>
        <v>0.35</v>
      </c>
      <c r="M263" s="788">
        <f t="shared" si="54"/>
        <v>0.3</v>
      </c>
      <c r="N263" s="788">
        <f t="shared" si="55"/>
        <v>0.75</v>
      </c>
      <c r="P263" s="699" t="s">
        <v>87</v>
      </c>
      <c r="R263" s="785">
        <v>4</v>
      </c>
      <c r="S263" s="743">
        <v>4</v>
      </c>
      <c r="U263" s="4" t="s">
        <v>751</v>
      </c>
      <c r="AP263" s="699" t="s">
        <v>87</v>
      </c>
    </row>
    <row r="264" spans="1:42" x14ac:dyDescent="0.2">
      <c r="A264" s="641" t="s">
        <v>911</v>
      </c>
      <c r="B264" s="169">
        <v>8</v>
      </c>
      <c r="C264" s="285" t="str">
        <f t="shared" si="51"/>
        <v>-</v>
      </c>
      <c r="D264" s="739" t="str">
        <f t="shared" si="52"/>
        <v>-</v>
      </c>
      <c r="E264" s="794" t="s">
        <v>90</v>
      </c>
      <c r="F264" s="794" t="s">
        <v>90</v>
      </c>
      <c r="G264" s="794" t="s">
        <v>90</v>
      </c>
      <c r="H264" s="137" t="s">
        <v>90</v>
      </c>
      <c r="I264" s="794" t="s">
        <v>90</v>
      </c>
      <c r="J264" s="137" t="s">
        <v>90</v>
      </c>
      <c r="K264" s="786" t="s">
        <v>710</v>
      </c>
      <c r="L264" s="788">
        <f t="shared" si="53"/>
        <v>0.35</v>
      </c>
      <c r="M264" s="788">
        <f t="shared" si="54"/>
        <v>0.3</v>
      </c>
      <c r="N264" s="788">
        <f t="shared" si="55"/>
        <v>0.75</v>
      </c>
      <c r="P264" s="699" t="s">
        <v>87</v>
      </c>
      <c r="R264" s="785">
        <v>4</v>
      </c>
      <c r="S264" s="743">
        <v>4</v>
      </c>
      <c r="U264" s="4" t="s">
        <v>751</v>
      </c>
      <c r="AP264" s="699" t="s">
        <v>87</v>
      </c>
    </row>
    <row r="265" spans="1:42" x14ac:dyDescent="0.2">
      <c r="A265" s="641" t="s">
        <v>945</v>
      </c>
      <c r="B265" s="169">
        <v>9</v>
      </c>
      <c r="C265" s="285" t="str">
        <f t="shared" si="51"/>
        <v>-</v>
      </c>
      <c r="D265" s="739" t="str">
        <f t="shared" si="52"/>
        <v>-</v>
      </c>
      <c r="E265" s="794" t="s">
        <v>90</v>
      </c>
      <c r="F265" s="794" t="s">
        <v>90</v>
      </c>
      <c r="G265" s="794" t="s">
        <v>90</v>
      </c>
      <c r="H265" s="137" t="s">
        <v>90</v>
      </c>
      <c r="I265" s="794" t="s">
        <v>90</v>
      </c>
      <c r="J265" s="137" t="s">
        <v>90</v>
      </c>
      <c r="K265" s="786" t="s">
        <v>710</v>
      </c>
      <c r="L265" s="788">
        <f t="shared" si="53"/>
        <v>0.35</v>
      </c>
      <c r="M265" s="788">
        <f t="shared" si="54"/>
        <v>0.4</v>
      </c>
      <c r="N265" s="788">
        <f t="shared" si="55"/>
        <v>0.75</v>
      </c>
      <c r="P265" s="699" t="s">
        <v>87</v>
      </c>
      <c r="R265" s="785">
        <v>4</v>
      </c>
      <c r="S265" s="743">
        <v>6</v>
      </c>
      <c r="U265" s="4" t="s">
        <v>751</v>
      </c>
      <c r="AP265" s="699" t="s">
        <v>87</v>
      </c>
    </row>
    <row r="266" spans="1:42" x14ac:dyDescent="0.2">
      <c r="A266" s="641" t="s">
        <v>910</v>
      </c>
      <c r="B266" s="169">
        <v>10</v>
      </c>
      <c r="C266" s="285" t="str">
        <f t="shared" si="51"/>
        <v>-</v>
      </c>
      <c r="D266" s="739" t="str">
        <f t="shared" si="52"/>
        <v>-</v>
      </c>
      <c r="E266" s="794" t="s">
        <v>90</v>
      </c>
      <c r="F266" s="794" t="s">
        <v>90</v>
      </c>
      <c r="G266" s="794" t="s">
        <v>90</v>
      </c>
      <c r="H266" s="137" t="s">
        <v>90</v>
      </c>
      <c r="I266" s="794" t="s">
        <v>90</v>
      </c>
      <c r="J266" s="137" t="s">
        <v>90</v>
      </c>
      <c r="K266" s="786" t="s">
        <v>710</v>
      </c>
      <c r="L266" s="788">
        <f t="shared" si="53"/>
        <v>0.35</v>
      </c>
      <c r="M266" s="788">
        <f t="shared" si="54"/>
        <v>0.3</v>
      </c>
      <c r="N266" s="788">
        <f t="shared" si="55"/>
        <v>0.75</v>
      </c>
      <c r="P266" s="699" t="s">
        <v>87</v>
      </c>
      <c r="R266" s="785">
        <v>4</v>
      </c>
      <c r="S266" s="743">
        <v>4</v>
      </c>
      <c r="U266" s="4" t="s">
        <v>751</v>
      </c>
      <c r="AP266" s="699" t="s">
        <v>87</v>
      </c>
    </row>
    <row r="267" spans="1:42" x14ac:dyDescent="0.2">
      <c r="A267" s="641" t="s">
        <v>281</v>
      </c>
      <c r="B267" s="169">
        <v>11</v>
      </c>
      <c r="C267" s="285" t="str">
        <f t="shared" si="51"/>
        <v>-</v>
      </c>
      <c r="D267" s="739" t="str">
        <f t="shared" si="52"/>
        <v>-</v>
      </c>
      <c r="E267" s="794" t="s">
        <v>90</v>
      </c>
      <c r="F267" s="794" t="s">
        <v>90</v>
      </c>
      <c r="G267" s="794" t="s">
        <v>90</v>
      </c>
      <c r="H267" s="137" t="s">
        <v>90</v>
      </c>
      <c r="I267" s="794" t="s">
        <v>90</v>
      </c>
      <c r="J267" s="137" t="s">
        <v>90</v>
      </c>
      <c r="K267" s="786" t="s">
        <v>710</v>
      </c>
      <c r="L267" s="788">
        <f t="shared" si="53"/>
        <v>0.35</v>
      </c>
      <c r="M267" s="788">
        <f t="shared" si="54"/>
        <v>0.3</v>
      </c>
      <c r="N267" s="788">
        <f t="shared" si="55"/>
        <v>0.75</v>
      </c>
      <c r="P267" s="699" t="s">
        <v>87</v>
      </c>
      <c r="R267" s="785">
        <v>4</v>
      </c>
      <c r="S267" s="743">
        <v>4</v>
      </c>
      <c r="U267" s="4" t="s">
        <v>751</v>
      </c>
      <c r="AP267" s="699" t="s">
        <v>87</v>
      </c>
    </row>
    <row r="268" spans="1:42" x14ac:dyDescent="0.2">
      <c r="A268" s="641" t="s">
        <v>946</v>
      </c>
      <c r="B268" s="169">
        <v>12</v>
      </c>
      <c r="C268" s="285" t="str">
        <f t="shared" si="51"/>
        <v>-</v>
      </c>
      <c r="D268" s="739" t="str">
        <f t="shared" si="52"/>
        <v>-</v>
      </c>
      <c r="E268" s="794" t="s">
        <v>90</v>
      </c>
      <c r="F268" s="794" t="s">
        <v>90</v>
      </c>
      <c r="G268" s="794" t="s">
        <v>90</v>
      </c>
      <c r="H268" s="137" t="s">
        <v>90</v>
      </c>
      <c r="I268" s="794" t="s">
        <v>90</v>
      </c>
      <c r="J268" s="137" t="s">
        <v>90</v>
      </c>
      <c r="K268" s="786" t="s">
        <v>350</v>
      </c>
      <c r="L268" s="788">
        <f t="shared" si="53"/>
        <v>0.35</v>
      </c>
      <c r="M268" s="788">
        <f t="shared" si="54"/>
        <v>0.3</v>
      </c>
      <c r="N268" s="788">
        <f t="shared" si="55"/>
        <v>0.5</v>
      </c>
      <c r="P268" s="699" t="s">
        <v>87</v>
      </c>
      <c r="R268" s="785">
        <v>4</v>
      </c>
      <c r="S268" s="743">
        <v>4</v>
      </c>
      <c r="U268" s="4" t="s">
        <v>751</v>
      </c>
      <c r="AP268" s="699" t="s">
        <v>87</v>
      </c>
    </row>
    <row r="269" spans="1:42" x14ac:dyDescent="0.2">
      <c r="A269" s="641" t="s">
        <v>947</v>
      </c>
      <c r="B269" s="169">
        <v>13</v>
      </c>
      <c r="C269" s="285" t="str">
        <f t="shared" si="51"/>
        <v>-</v>
      </c>
      <c r="D269" s="739" t="str">
        <f t="shared" si="52"/>
        <v>-</v>
      </c>
      <c r="E269" s="794" t="s">
        <v>90</v>
      </c>
      <c r="F269" s="794" t="s">
        <v>90</v>
      </c>
      <c r="G269" s="794" t="s">
        <v>90</v>
      </c>
      <c r="H269" s="137" t="s">
        <v>90</v>
      </c>
      <c r="I269" s="794" t="s">
        <v>90</v>
      </c>
      <c r="J269" s="137" t="s">
        <v>90</v>
      </c>
      <c r="K269" s="786" t="s">
        <v>709</v>
      </c>
      <c r="L269" s="788">
        <f t="shared" si="53"/>
        <v>0.45</v>
      </c>
      <c r="M269" s="788">
        <f t="shared" si="54"/>
        <v>0.4</v>
      </c>
      <c r="N269" s="788">
        <f t="shared" si="55"/>
        <v>0.25</v>
      </c>
      <c r="P269" s="699" t="s">
        <v>87</v>
      </c>
      <c r="R269" s="785">
        <v>5</v>
      </c>
      <c r="S269" s="743">
        <v>6</v>
      </c>
      <c r="U269" s="4" t="s">
        <v>749</v>
      </c>
      <c r="AP269" s="699" t="s">
        <v>87</v>
      </c>
    </row>
    <row r="270" spans="1:42" x14ac:dyDescent="0.2">
      <c r="A270" s="641" t="s">
        <v>948</v>
      </c>
      <c r="B270" s="169">
        <v>14</v>
      </c>
      <c r="C270" s="285" t="str">
        <f t="shared" si="51"/>
        <v>-</v>
      </c>
      <c r="D270" s="739" t="str">
        <f t="shared" si="52"/>
        <v>-</v>
      </c>
      <c r="E270" s="794" t="s">
        <v>90</v>
      </c>
      <c r="F270" s="794" t="s">
        <v>90</v>
      </c>
      <c r="G270" s="794" t="s">
        <v>90</v>
      </c>
      <c r="H270" s="137" t="s">
        <v>90</v>
      </c>
      <c r="I270" s="794" t="s">
        <v>90</v>
      </c>
      <c r="J270" s="137" t="s">
        <v>90</v>
      </c>
      <c r="K270" s="786" t="s">
        <v>709</v>
      </c>
      <c r="L270" s="788">
        <f t="shared" si="53"/>
        <v>0.45</v>
      </c>
      <c r="M270" s="788">
        <f t="shared" si="54"/>
        <v>0.4</v>
      </c>
      <c r="N270" s="788">
        <f t="shared" si="55"/>
        <v>0.25</v>
      </c>
      <c r="P270" s="699" t="s">
        <v>87</v>
      </c>
      <c r="R270" s="785">
        <v>5</v>
      </c>
      <c r="S270" s="743">
        <v>6</v>
      </c>
      <c r="U270" s="4" t="s">
        <v>754</v>
      </c>
      <c r="AP270" s="699" t="s">
        <v>87</v>
      </c>
    </row>
    <row r="271" spans="1:42" x14ac:dyDescent="0.2">
      <c r="A271" s="641" t="s">
        <v>284</v>
      </c>
      <c r="B271" s="169">
        <v>15</v>
      </c>
      <c r="C271" s="285" t="str">
        <f t="shared" si="51"/>
        <v>-</v>
      </c>
      <c r="D271" s="739" t="str">
        <f t="shared" si="52"/>
        <v>-</v>
      </c>
      <c r="E271" s="794" t="s">
        <v>90</v>
      </c>
      <c r="F271" s="794" t="s">
        <v>90</v>
      </c>
      <c r="G271" s="794" t="s">
        <v>90</v>
      </c>
      <c r="H271" s="137" t="s">
        <v>90</v>
      </c>
      <c r="I271" s="794" t="s">
        <v>90</v>
      </c>
      <c r="J271" s="137" t="s">
        <v>90</v>
      </c>
      <c r="K271" s="786" t="s">
        <v>709</v>
      </c>
      <c r="L271" s="788">
        <f t="shared" si="53"/>
        <v>0.45</v>
      </c>
      <c r="M271" s="788">
        <f t="shared" si="54"/>
        <v>0.4</v>
      </c>
      <c r="N271" s="788">
        <f t="shared" si="55"/>
        <v>0.25</v>
      </c>
      <c r="P271" s="699" t="s">
        <v>87</v>
      </c>
      <c r="R271" s="785">
        <v>5</v>
      </c>
      <c r="S271" s="743">
        <v>6</v>
      </c>
      <c r="U271" s="4" t="s">
        <v>749</v>
      </c>
      <c r="AP271" s="699" t="s">
        <v>87</v>
      </c>
    </row>
    <row r="272" spans="1:42" x14ac:dyDescent="0.2">
      <c r="A272" s="641" t="s">
        <v>949</v>
      </c>
      <c r="B272" s="169">
        <v>16</v>
      </c>
      <c r="C272" s="285" t="str">
        <f t="shared" si="51"/>
        <v>-</v>
      </c>
      <c r="D272" s="739" t="str">
        <f t="shared" si="52"/>
        <v>-</v>
      </c>
      <c r="E272" s="794" t="s">
        <v>90</v>
      </c>
      <c r="F272" s="794" t="s">
        <v>90</v>
      </c>
      <c r="G272" s="794" t="s">
        <v>90</v>
      </c>
      <c r="H272" s="137" t="s">
        <v>90</v>
      </c>
      <c r="I272" s="794" t="s">
        <v>90</v>
      </c>
      <c r="J272" s="137" t="s">
        <v>90</v>
      </c>
      <c r="K272" s="786" t="s">
        <v>710</v>
      </c>
      <c r="L272" s="788">
        <f t="shared" si="53"/>
        <v>0.45</v>
      </c>
      <c r="M272" s="788">
        <f t="shared" si="54"/>
        <v>0.4</v>
      </c>
      <c r="N272" s="788">
        <f t="shared" si="55"/>
        <v>0.75</v>
      </c>
      <c r="P272" s="699" t="s">
        <v>87</v>
      </c>
      <c r="R272" s="785">
        <v>5</v>
      </c>
      <c r="S272" s="743">
        <v>6</v>
      </c>
      <c r="U272" s="4" t="s">
        <v>751</v>
      </c>
      <c r="AP272" s="699" t="s">
        <v>87</v>
      </c>
    </row>
    <row r="273" spans="1:42" x14ac:dyDescent="0.2">
      <c r="A273" s="641" t="s">
        <v>950</v>
      </c>
      <c r="B273" s="169">
        <v>17</v>
      </c>
      <c r="C273" s="285" t="str">
        <f t="shared" si="51"/>
        <v>-</v>
      </c>
      <c r="D273" s="739" t="str">
        <f t="shared" si="52"/>
        <v>-</v>
      </c>
      <c r="E273" s="794" t="s">
        <v>90</v>
      </c>
      <c r="F273" s="794" t="s">
        <v>90</v>
      </c>
      <c r="G273" s="794" t="s">
        <v>90</v>
      </c>
      <c r="H273" s="137" t="s">
        <v>90</v>
      </c>
      <c r="I273" s="794" t="s">
        <v>90</v>
      </c>
      <c r="J273" s="137" t="s">
        <v>90</v>
      </c>
      <c r="K273" s="786" t="s">
        <v>710</v>
      </c>
      <c r="L273" s="788">
        <f t="shared" si="53"/>
        <v>0.45</v>
      </c>
      <c r="M273" s="788">
        <f t="shared" si="54"/>
        <v>0.4</v>
      </c>
      <c r="N273" s="788">
        <f t="shared" si="55"/>
        <v>0.75</v>
      </c>
      <c r="P273" s="699" t="s">
        <v>87</v>
      </c>
      <c r="R273" s="785">
        <v>5</v>
      </c>
      <c r="S273" s="743">
        <v>6</v>
      </c>
      <c r="U273" s="4" t="s">
        <v>751</v>
      </c>
      <c r="AP273" s="699" t="s">
        <v>87</v>
      </c>
    </row>
    <row r="274" spans="1:42" x14ac:dyDescent="0.2">
      <c r="A274" s="641" t="s">
        <v>951</v>
      </c>
      <c r="B274" s="169">
        <v>18</v>
      </c>
      <c r="C274" s="285" t="str">
        <f t="shared" si="51"/>
        <v>-</v>
      </c>
      <c r="D274" s="739" t="str">
        <f t="shared" si="52"/>
        <v>-</v>
      </c>
      <c r="E274" s="794" t="s">
        <v>90</v>
      </c>
      <c r="F274" s="794" t="s">
        <v>90</v>
      </c>
      <c r="G274" s="794" t="s">
        <v>90</v>
      </c>
      <c r="H274" s="137" t="s">
        <v>90</v>
      </c>
      <c r="I274" s="794" t="s">
        <v>90</v>
      </c>
      <c r="J274" s="137" t="s">
        <v>90</v>
      </c>
      <c r="K274" s="786" t="s">
        <v>710</v>
      </c>
      <c r="L274" s="788">
        <f t="shared" si="53"/>
        <v>0.45</v>
      </c>
      <c r="M274" s="788">
        <f t="shared" si="54"/>
        <v>0.4</v>
      </c>
      <c r="N274" s="788">
        <f t="shared" si="55"/>
        <v>0.75</v>
      </c>
      <c r="P274" s="699" t="s">
        <v>87</v>
      </c>
      <c r="R274" s="785">
        <v>5</v>
      </c>
      <c r="S274" s="743">
        <v>6</v>
      </c>
      <c r="U274" s="4" t="s">
        <v>751</v>
      </c>
      <c r="AP274" s="699" t="s">
        <v>87</v>
      </c>
    </row>
    <row r="275" spans="1:42" x14ac:dyDescent="0.2">
      <c r="A275" s="641" t="s">
        <v>952</v>
      </c>
      <c r="B275" s="169">
        <v>19</v>
      </c>
      <c r="C275" s="285" t="str">
        <f t="shared" si="51"/>
        <v>-</v>
      </c>
      <c r="D275" s="739" t="str">
        <f t="shared" si="52"/>
        <v>-</v>
      </c>
      <c r="E275" s="794" t="s">
        <v>90</v>
      </c>
      <c r="F275" s="794" t="s">
        <v>90</v>
      </c>
      <c r="G275" s="794" t="s">
        <v>90</v>
      </c>
      <c r="H275" s="137" t="s">
        <v>90</v>
      </c>
      <c r="I275" s="794" t="s">
        <v>90</v>
      </c>
      <c r="J275" s="137" t="s">
        <v>90</v>
      </c>
      <c r="K275" s="786" t="s">
        <v>710</v>
      </c>
      <c r="L275" s="788">
        <f t="shared" si="53"/>
        <v>0.45</v>
      </c>
      <c r="M275" s="788">
        <f t="shared" si="54"/>
        <v>0.4</v>
      </c>
      <c r="N275" s="788">
        <f t="shared" si="55"/>
        <v>0.75</v>
      </c>
      <c r="P275" s="699" t="s">
        <v>87</v>
      </c>
      <c r="R275" s="785">
        <v>5</v>
      </c>
      <c r="S275" s="743">
        <v>6</v>
      </c>
      <c r="U275" s="4" t="s">
        <v>751</v>
      </c>
      <c r="AP275" s="699" t="s">
        <v>87</v>
      </c>
    </row>
    <row r="276" spans="1:42" x14ac:dyDescent="0.2">
      <c r="A276" s="641" t="s">
        <v>204</v>
      </c>
      <c r="B276" s="169">
        <v>20</v>
      </c>
      <c r="C276" s="285" t="str">
        <f t="shared" si="51"/>
        <v>-</v>
      </c>
      <c r="D276" s="739" t="str">
        <f t="shared" si="52"/>
        <v>-</v>
      </c>
      <c r="E276" s="794" t="s">
        <v>90</v>
      </c>
      <c r="F276" s="794" t="s">
        <v>90</v>
      </c>
      <c r="G276" s="794" t="s">
        <v>90</v>
      </c>
      <c r="H276" s="137" t="s">
        <v>90</v>
      </c>
      <c r="I276" s="794" t="s">
        <v>90</v>
      </c>
      <c r="J276" s="137" t="s">
        <v>90</v>
      </c>
      <c r="K276" s="786" t="s">
        <v>706</v>
      </c>
      <c r="L276" s="788">
        <f t="shared" si="53"/>
        <v>0.5</v>
      </c>
      <c r="M276" s="788">
        <f t="shared" si="54"/>
        <v>0.35</v>
      </c>
      <c r="N276" s="788">
        <f t="shared" si="55"/>
        <v>0.75</v>
      </c>
      <c r="P276" s="699" t="s">
        <v>87</v>
      </c>
      <c r="R276" s="785">
        <v>6</v>
      </c>
      <c r="S276" s="743">
        <v>5</v>
      </c>
      <c r="U276" s="4" t="s">
        <v>754</v>
      </c>
      <c r="AP276" s="699" t="s">
        <v>87</v>
      </c>
    </row>
    <row r="277" spans="1:42" x14ac:dyDescent="0.2">
      <c r="A277" s="641" t="s">
        <v>953</v>
      </c>
      <c r="B277" s="169">
        <v>21</v>
      </c>
      <c r="C277" s="285" t="str">
        <f t="shared" si="51"/>
        <v>-</v>
      </c>
      <c r="D277" s="739" t="str">
        <f t="shared" si="52"/>
        <v>-</v>
      </c>
      <c r="E277" s="794" t="s">
        <v>90</v>
      </c>
      <c r="F277" s="794" t="s">
        <v>90</v>
      </c>
      <c r="G277" s="794" t="s">
        <v>90</v>
      </c>
      <c r="H277" s="137" t="s">
        <v>90</v>
      </c>
      <c r="I277" s="794" t="s">
        <v>90</v>
      </c>
      <c r="J277" s="137" t="s">
        <v>90</v>
      </c>
      <c r="K277" s="786" t="s">
        <v>707</v>
      </c>
      <c r="L277" s="788">
        <f t="shared" si="53"/>
        <v>0.5</v>
      </c>
      <c r="M277" s="788">
        <f t="shared" si="54"/>
        <v>0.35</v>
      </c>
      <c r="N277" s="788">
        <f t="shared" si="55"/>
        <v>0.75</v>
      </c>
      <c r="P277" s="699" t="s">
        <v>87</v>
      </c>
      <c r="R277" s="785">
        <v>6</v>
      </c>
      <c r="S277" s="743">
        <v>5</v>
      </c>
      <c r="U277" s="4" t="s">
        <v>754</v>
      </c>
      <c r="AP277" s="699" t="s">
        <v>87</v>
      </c>
    </row>
    <row r="278" spans="1:42" x14ac:dyDescent="0.2">
      <c r="A278" s="97" t="s">
        <v>274</v>
      </c>
      <c r="B278" s="162">
        <v>22</v>
      </c>
      <c r="C278" s="153" t="str">
        <f t="shared" si="51"/>
        <v>-</v>
      </c>
      <c r="D278" s="756" t="str">
        <f t="shared" si="52"/>
        <v>-</v>
      </c>
      <c r="E278" s="796" t="s">
        <v>90</v>
      </c>
      <c r="F278" s="796" t="s">
        <v>90</v>
      </c>
      <c r="G278" s="796" t="s">
        <v>90</v>
      </c>
      <c r="H278" s="139" t="s">
        <v>90</v>
      </c>
      <c r="I278" s="796" t="s">
        <v>90</v>
      </c>
      <c r="J278" s="139" t="s">
        <v>90</v>
      </c>
      <c r="K278" s="789" t="s">
        <v>711</v>
      </c>
      <c r="L278" s="791">
        <f t="shared" si="53"/>
        <v>0.5</v>
      </c>
      <c r="M278" s="791">
        <f t="shared" si="54"/>
        <v>0.35</v>
      </c>
      <c r="N278" s="791">
        <f t="shared" si="55"/>
        <v>0.5</v>
      </c>
      <c r="P278" s="699" t="s">
        <v>87</v>
      </c>
      <c r="R278" s="792">
        <v>6</v>
      </c>
      <c r="S278" s="762">
        <v>5</v>
      </c>
      <c r="U278" s="4" t="s">
        <v>754</v>
      </c>
      <c r="AP278" s="699" t="s">
        <v>87</v>
      </c>
    </row>
    <row r="279" spans="1:42" x14ac:dyDescent="0.2">
      <c r="P279" s="699" t="s">
        <v>87</v>
      </c>
      <c r="AP279" s="699" t="s">
        <v>87</v>
      </c>
    </row>
    <row r="280" spans="1:42" ht="14.25" x14ac:dyDescent="0.2">
      <c r="A280" s="793" t="str">
        <f>$A$17</f>
        <v>Detailed information for</v>
      </c>
      <c r="B280" s="764"/>
      <c r="C280" s="765" t="s">
        <v>731</v>
      </c>
      <c r="D280" s="766" t="s">
        <v>732</v>
      </c>
      <c r="E280" s="767"/>
      <c r="F280" s="767"/>
      <c r="G280" s="768"/>
      <c r="H280" s="769" t="s">
        <v>733</v>
      </c>
      <c r="I280" s="770"/>
      <c r="J280" s="770"/>
      <c r="K280" s="771" t="s">
        <v>33</v>
      </c>
      <c r="L280" s="772" t="s">
        <v>734</v>
      </c>
      <c r="M280" s="770"/>
      <c r="N280" s="770"/>
      <c r="P280" s="699" t="s">
        <v>87</v>
      </c>
      <c r="R280" s="773" t="s">
        <v>735</v>
      </c>
      <c r="S280" s="770"/>
      <c r="AP280" s="699" t="s">
        <v>87</v>
      </c>
    </row>
    <row r="281" spans="1:42" ht="15" x14ac:dyDescent="0.25">
      <c r="A281" s="774" t="s">
        <v>954</v>
      </c>
      <c r="B281" s="775"/>
      <c r="C281" s="776" t="s">
        <v>736</v>
      </c>
      <c r="D281" s="777" t="s">
        <v>173</v>
      </c>
      <c r="E281" s="777" t="s">
        <v>737</v>
      </c>
      <c r="F281" s="777" t="s">
        <v>738</v>
      </c>
      <c r="G281" s="777" t="s">
        <v>739</v>
      </c>
      <c r="H281" s="777" t="s">
        <v>737</v>
      </c>
      <c r="I281" s="777" t="s">
        <v>738</v>
      </c>
      <c r="J281" s="777" t="s">
        <v>740</v>
      </c>
      <c r="K281" s="778" t="s">
        <v>8</v>
      </c>
      <c r="L281" s="779" t="s">
        <v>741</v>
      </c>
      <c r="M281" s="779" t="s">
        <v>742</v>
      </c>
      <c r="N281" s="780" t="s">
        <v>743</v>
      </c>
      <c r="P281" s="699" t="s">
        <v>87</v>
      </c>
      <c r="R281" s="777" t="s">
        <v>744</v>
      </c>
      <c r="S281" s="777" t="s">
        <v>745</v>
      </c>
      <c r="AP281" s="699" t="s">
        <v>87</v>
      </c>
    </row>
    <row r="282" spans="1:42" ht="14.25" x14ac:dyDescent="0.2">
      <c r="A282" s="662"/>
      <c r="B282" s="104">
        <v>72</v>
      </c>
      <c r="C282" s="167" t="s">
        <v>746</v>
      </c>
      <c r="D282" s="167" t="s">
        <v>747</v>
      </c>
      <c r="E282" s="167">
        <v>3</v>
      </c>
      <c r="F282" s="167">
        <v>4</v>
      </c>
      <c r="G282" s="167">
        <v>5</v>
      </c>
      <c r="H282" s="167">
        <v>6</v>
      </c>
      <c r="I282" s="167">
        <v>7</v>
      </c>
      <c r="J282" s="167">
        <v>8</v>
      </c>
      <c r="K282" s="167"/>
      <c r="L282" s="167"/>
      <c r="M282" s="167"/>
      <c r="N282" s="214"/>
      <c r="P282" s="699" t="s">
        <v>87</v>
      </c>
      <c r="R282" s="781"/>
      <c r="S282" s="106"/>
      <c r="AP282" s="699" t="s">
        <v>87</v>
      </c>
    </row>
    <row r="283" spans="1:42" x14ac:dyDescent="0.2">
      <c r="A283" s="641" t="s">
        <v>195</v>
      </c>
      <c r="B283" s="169">
        <v>1</v>
      </c>
      <c r="C283" s="285" t="str">
        <f t="shared" ref="C283:C304" si="56">IF(OR(D283&lt;&gt;"-",I283&lt;&gt;"-"),SQRT(PRODUCT(L283,SUM(D283))^2+PRODUCT(M283,SUM(I283))^2+2*PRODUCT(N283,L283,SUM(D283),M283,SUM(I283))),"-")</f>
        <v>-</v>
      </c>
      <c r="D283" s="739" t="str">
        <f t="shared" ref="D283:D304" si="57">IF(OR(F283&lt;&gt;"-",G283&lt;&gt;"-"),MAX(SUM(F283),SUM(G283)),"-")</f>
        <v>-</v>
      </c>
      <c r="E283" s="794" t="s">
        <v>90</v>
      </c>
      <c r="F283" s="794" t="s">
        <v>90</v>
      </c>
      <c r="G283" s="794" t="s">
        <v>90</v>
      </c>
      <c r="H283" s="137" t="s">
        <v>90</v>
      </c>
      <c r="I283" s="794" t="s">
        <v>90</v>
      </c>
      <c r="J283" s="137" t="s">
        <v>90</v>
      </c>
      <c r="K283" s="786" t="s">
        <v>709</v>
      </c>
      <c r="L283" s="788">
        <f t="shared" ref="L283:L304" si="58">IFERROR(INDEX(ICS.NL.Buckets.P,R283),"-")</f>
        <v>0.3</v>
      </c>
      <c r="M283" s="788">
        <f t="shared" ref="M283:M304" si="59">IFERROR(INDEX(ICS.NL.Buckets.R,S283),"-")</f>
        <v>0.2</v>
      </c>
      <c r="N283" s="788">
        <f t="shared" ref="N283:N304" si="60">IFERROR(INDEX(ICS.NL.Corr.P_R,MATCH(K283,ICS.NL.CategMapping,0)),1)</f>
        <v>0.25</v>
      </c>
      <c r="P283" s="699" t="s">
        <v>87</v>
      </c>
      <c r="R283" s="785">
        <v>3</v>
      </c>
      <c r="S283" s="743">
        <v>2</v>
      </c>
      <c r="U283" s="4" t="s">
        <v>754</v>
      </c>
      <c r="AP283" s="699" t="s">
        <v>87</v>
      </c>
    </row>
    <row r="284" spans="1:42" x14ac:dyDescent="0.2">
      <c r="A284" s="641" t="s">
        <v>939</v>
      </c>
      <c r="B284" s="169">
        <v>2</v>
      </c>
      <c r="C284" s="285" t="str">
        <f t="shared" si="56"/>
        <v>-</v>
      </c>
      <c r="D284" s="739" t="str">
        <f t="shared" si="57"/>
        <v>-</v>
      </c>
      <c r="E284" s="794" t="s">
        <v>90</v>
      </c>
      <c r="F284" s="794" t="s">
        <v>90</v>
      </c>
      <c r="G284" s="794" t="s">
        <v>90</v>
      </c>
      <c r="H284" s="137" t="s">
        <v>90</v>
      </c>
      <c r="I284" s="794" t="s">
        <v>90</v>
      </c>
      <c r="J284" s="137" t="s">
        <v>90</v>
      </c>
      <c r="K284" s="786" t="s">
        <v>709</v>
      </c>
      <c r="L284" s="788">
        <f t="shared" si="58"/>
        <v>0.3</v>
      </c>
      <c r="M284" s="788">
        <f t="shared" si="59"/>
        <v>0.25</v>
      </c>
      <c r="N284" s="788">
        <f t="shared" si="60"/>
        <v>0.25</v>
      </c>
      <c r="P284" s="699" t="s">
        <v>87</v>
      </c>
      <c r="R284" s="785">
        <v>3</v>
      </c>
      <c r="S284" s="743">
        <v>3</v>
      </c>
      <c r="U284" s="4" t="s">
        <v>749</v>
      </c>
      <c r="AP284" s="699" t="s">
        <v>87</v>
      </c>
    </row>
    <row r="285" spans="1:42" x14ac:dyDescent="0.2">
      <c r="A285" s="641" t="s">
        <v>940</v>
      </c>
      <c r="B285" s="169">
        <v>3</v>
      </c>
      <c r="C285" s="285" t="str">
        <f t="shared" si="56"/>
        <v>-</v>
      </c>
      <c r="D285" s="739" t="str">
        <f t="shared" si="57"/>
        <v>-</v>
      </c>
      <c r="E285" s="794" t="s">
        <v>90</v>
      </c>
      <c r="F285" s="794" t="s">
        <v>90</v>
      </c>
      <c r="G285" s="794" t="s">
        <v>90</v>
      </c>
      <c r="H285" s="137" t="s">
        <v>90</v>
      </c>
      <c r="I285" s="794" t="s">
        <v>90</v>
      </c>
      <c r="J285" s="137" t="s">
        <v>90</v>
      </c>
      <c r="K285" s="786" t="s">
        <v>350</v>
      </c>
      <c r="L285" s="788">
        <f t="shared" si="58"/>
        <v>0.3</v>
      </c>
      <c r="M285" s="788">
        <f t="shared" si="59"/>
        <v>0.25</v>
      </c>
      <c r="N285" s="788">
        <f t="shared" si="60"/>
        <v>0.5</v>
      </c>
      <c r="P285" s="699" t="s">
        <v>87</v>
      </c>
      <c r="R285" s="785">
        <v>3</v>
      </c>
      <c r="S285" s="743">
        <v>3</v>
      </c>
      <c r="U285" s="4" t="s">
        <v>749</v>
      </c>
      <c r="AP285" s="699" t="s">
        <v>87</v>
      </c>
    </row>
    <row r="286" spans="1:42" x14ac:dyDescent="0.2">
      <c r="A286" s="641" t="s">
        <v>941</v>
      </c>
      <c r="B286" s="169">
        <v>4</v>
      </c>
      <c r="C286" s="285" t="str">
        <f t="shared" si="56"/>
        <v>-</v>
      </c>
      <c r="D286" s="739" t="str">
        <f t="shared" si="57"/>
        <v>-</v>
      </c>
      <c r="E286" s="794" t="s">
        <v>90</v>
      </c>
      <c r="F286" s="794" t="s">
        <v>90</v>
      </c>
      <c r="G286" s="794" t="s">
        <v>90</v>
      </c>
      <c r="H286" s="137" t="s">
        <v>90</v>
      </c>
      <c r="I286" s="794" t="s">
        <v>90</v>
      </c>
      <c r="J286" s="137" t="s">
        <v>90</v>
      </c>
      <c r="K286" s="786" t="s">
        <v>350</v>
      </c>
      <c r="L286" s="788">
        <f t="shared" si="58"/>
        <v>0.3</v>
      </c>
      <c r="M286" s="788">
        <f t="shared" si="59"/>
        <v>0.25</v>
      </c>
      <c r="N286" s="788">
        <f t="shared" si="60"/>
        <v>0.5</v>
      </c>
      <c r="P286" s="699" t="s">
        <v>87</v>
      </c>
      <c r="R286" s="785">
        <v>3</v>
      </c>
      <c r="S286" s="743">
        <v>3</v>
      </c>
      <c r="U286" s="4" t="s">
        <v>749</v>
      </c>
      <c r="AP286" s="699" t="s">
        <v>87</v>
      </c>
    </row>
    <row r="287" spans="1:42" x14ac:dyDescent="0.2">
      <c r="A287" s="641" t="s">
        <v>942</v>
      </c>
      <c r="B287" s="169">
        <v>5</v>
      </c>
      <c r="C287" s="285" t="str">
        <f t="shared" si="56"/>
        <v>-</v>
      </c>
      <c r="D287" s="739" t="str">
        <f t="shared" si="57"/>
        <v>-</v>
      </c>
      <c r="E287" s="794" t="s">
        <v>90</v>
      </c>
      <c r="F287" s="794" t="s">
        <v>90</v>
      </c>
      <c r="G287" s="794" t="s">
        <v>90</v>
      </c>
      <c r="H287" s="137" t="s">
        <v>90</v>
      </c>
      <c r="I287" s="794" t="s">
        <v>90</v>
      </c>
      <c r="J287" s="137" t="s">
        <v>90</v>
      </c>
      <c r="K287" s="786" t="s">
        <v>709</v>
      </c>
      <c r="L287" s="788">
        <f t="shared" si="58"/>
        <v>0.3</v>
      </c>
      <c r="M287" s="788">
        <f t="shared" si="59"/>
        <v>0.3</v>
      </c>
      <c r="N287" s="788">
        <f t="shared" si="60"/>
        <v>0.25</v>
      </c>
      <c r="P287" s="699" t="s">
        <v>87</v>
      </c>
      <c r="R287" s="785">
        <v>3</v>
      </c>
      <c r="S287" s="743">
        <v>4</v>
      </c>
      <c r="U287" s="4" t="s">
        <v>754</v>
      </c>
      <c r="AP287" s="699" t="s">
        <v>87</v>
      </c>
    </row>
    <row r="288" spans="1:42" x14ac:dyDescent="0.2">
      <c r="A288" s="641" t="s">
        <v>943</v>
      </c>
      <c r="B288" s="169">
        <v>6</v>
      </c>
      <c r="C288" s="285" t="str">
        <f t="shared" si="56"/>
        <v>-</v>
      </c>
      <c r="D288" s="739" t="str">
        <f t="shared" si="57"/>
        <v>-</v>
      </c>
      <c r="E288" s="794" t="s">
        <v>90</v>
      </c>
      <c r="F288" s="794" t="s">
        <v>90</v>
      </c>
      <c r="G288" s="794" t="s">
        <v>90</v>
      </c>
      <c r="H288" s="137" t="s">
        <v>90</v>
      </c>
      <c r="I288" s="794" t="s">
        <v>90</v>
      </c>
      <c r="J288" s="137" t="s">
        <v>90</v>
      </c>
      <c r="K288" s="786" t="s">
        <v>350</v>
      </c>
      <c r="L288" s="788">
        <f t="shared" si="58"/>
        <v>0.3</v>
      </c>
      <c r="M288" s="788">
        <f t="shared" si="59"/>
        <v>0.3</v>
      </c>
      <c r="N288" s="788">
        <f t="shared" si="60"/>
        <v>0.5</v>
      </c>
      <c r="P288" s="699" t="s">
        <v>87</v>
      </c>
      <c r="R288" s="785">
        <v>3</v>
      </c>
      <c r="S288" s="743">
        <v>4</v>
      </c>
      <c r="U288" s="4" t="s">
        <v>754</v>
      </c>
      <c r="AP288" s="699" t="s">
        <v>87</v>
      </c>
    </row>
    <row r="289" spans="1:42" x14ac:dyDescent="0.2">
      <c r="A289" s="641" t="s">
        <v>944</v>
      </c>
      <c r="B289" s="169">
        <v>7</v>
      </c>
      <c r="C289" s="285" t="str">
        <f t="shared" si="56"/>
        <v>-</v>
      </c>
      <c r="D289" s="739" t="str">
        <f t="shared" si="57"/>
        <v>-</v>
      </c>
      <c r="E289" s="794" t="s">
        <v>90</v>
      </c>
      <c r="F289" s="794" t="s">
        <v>90</v>
      </c>
      <c r="G289" s="794" t="s">
        <v>90</v>
      </c>
      <c r="H289" s="137" t="s">
        <v>90</v>
      </c>
      <c r="I289" s="794" t="s">
        <v>90</v>
      </c>
      <c r="J289" s="137" t="s">
        <v>90</v>
      </c>
      <c r="K289" s="786" t="s">
        <v>710</v>
      </c>
      <c r="L289" s="788">
        <f t="shared" si="58"/>
        <v>0.35</v>
      </c>
      <c r="M289" s="788">
        <f t="shared" si="59"/>
        <v>0.3</v>
      </c>
      <c r="N289" s="788">
        <f t="shared" si="60"/>
        <v>0.75</v>
      </c>
      <c r="P289" s="699" t="s">
        <v>87</v>
      </c>
      <c r="R289" s="785">
        <v>4</v>
      </c>
      <c r="S289" s="743">
        <v>4</v>
      </c>
      <c r="U289" s="4" t="s">
        <v>751</v>
      </c>
      <c r="AP289" s="699" t="s">
        <v>87</v>
      </c>
    </row>
    <row r="290" spans="1:42" x14ac:dyDescent="0.2">
      <c r="A290" s="641" t="s">
        <v>911</v>
      </c>
      <c r="B290" s="169">
        <v>8</v>
      </c>
      <c r="C290" s="285" t="str">
        <f t="shared" si="56"/>
        <v>-</v>
      </c>
      <c r="D290" s="739" t="str">
        <f t="shared" si="57"/>
        <v>-</v>
      </c>
      <c r="E290" s="794" t="s">
        <v>90</v>
      </c>
      <c r="F290" s="794" t="s">
        <v>90</v>
      </c>
      <c r="G290" s="794" t="s">
        <v>90</v>
      </c>
      <c r="H290" s="137" t="s">
        <v>90</v>
      </c>
      <c r="I290" s="794" t="s">
        <v>90</v>
      </c>
      <c r="J290" s="137" t="s">
        <v>90</v>
      </c>
      <c r="K290" s="786" t="s">
        <v>710</v>
      </c>
      <c r="L290" s="788">
        <f t="shared" si="58"/>
        <v>0.35</v>
      </c>
      <c r="M290" s="788">
        <f t="shared" si="59"/>
        <v>0.3</v>
      </c>
      <c r="N290" s="788">
        <f t="shared" si="60"/>
        <v>0.75</v>
      </c>
      <c r="P290" s="699" t="s">
        <v>87</v>
      </c>
      <c r="R290" s="785">
        <v>4</v>
      </c>
      <c r="S290" s="743">
        <v>4</v>
      </c>
      <c r="U290" s="4" t="s">
        <v>751</v>
      </c>
      <c r="AP290" s="699" t="s">
        <v>87</v>
      </c>
    </row>
    <row r="291" spans="1:42" x14ac:dyDescent="0.2">
      <c r="A291" s="641" t="s">
        <v>945</v>
      </c>
      <c r="B291" s="169">
        <v>9</v>
      </c>
      <c r="C291" s="285" t="str">
        <f t="shared" si="56"/>
        <v>-</v>
      </c>
      <c r="D291" s="739" t="str">
        <f t="shared" si="57"/>
        <v>-</v>
      </c>
      <c r="E291" s="794" t="s">
        <v>90</v>
      </c>
      <c r="F291" s="794" t="s">
        <v>90</v>
      </c>
      <c r="G291" s="794" t="s">
        <v>90</v>
      </c>
      <c r="H291" s="137" t="s">
        <v>90</v>
      </c>
      <c r="I291" s="794" t="s">
        <v>90</v>
      </c>
      <c r="J291" s="137" t="s">
        <v>90</v>
      </c>
      <c r="K291" s="786" t="s">
        <v>710</v>
      </c>
      <c r="L291" s="788">
        <f t="shared" si="58"/>
        <v>0.35</v>
      </c>
      <c r="M291" s="788">
        <f t="shared" si="59"/>
        <v>0.4</v>
      </c>
      <c r="N291" s="788">
        <f t="shared" si="60"/>
        <v>0.75</v>
      </c>
      <c r="P291" s="699" t="s">
        <v>87</v>
      </c>
      <c r="R291" s="785">
        <v>4</v>
      </c>
      <c r="S291" s="743">
        <v>6</v>
      </c>
      <c r="U291" s="4" t="s">
        <v>751</v>
      </c>
      <c r="AP291" s="699" t="s">
        <v>87</v>
      </c>
    </row>
    <row r="292" spans="1:42" x14ac:dyDescent="0.2">
      <c r="A292" s="641" t="s">
        <v>910</v>
      </c>
      <c r="B292" s="169">
        <v>10</v>
      </c>
      <c r="C292" s="285" t="str">
        <f t="shared" si="56"/>
        <v>-</v>
      </c>
      <c r="D292" s="739" t="str">
        <f t="shared" si="57"/>
        <v>-</v>
      </c>
      <c r="E292" s="794" t="s">
        <v>90</v>
      </c>
      <c r="F292" s="794" t="s">
        <v>90</v>
      </c>
      <c r="G292" s="794" t="s">
        <v>90</v>
      </c>
      <c r="H292" s="137" t="s">
        <v>90</v>
      </c>
      <c r="I292" s="794" t="s">
        <v>90</v>
      </c>
      <c r="J292" s="137" t="s">
        <v>90</v>
      </c>
      <c r="K292" s="786" t="s">
        <v>710</v>
      </c>
      <c r="L292" s="788">
        <f t="shared" si="58"/>
        <v>0.35</v>
      </c>
      <c r="M292" s="788">
        <f t="shared" si="59"/>
        <v>0.3</v>
      </c>
      <c r="N292" s="788">
        <f t="shared" si="60"/>
        <v>0.75</v>
      </c>
      <c r="P292" s="699" t="s">
        <v>87</v>
      </c>
      <c r="R292" s="785">
        <v>4</v>
      </c>
      <c r="S292" s="743">
        <v>4</v>
      </c>
      <c r="U292" s="4" t="s">
        <v>751</v>
      </c>
      <c r="AP292" s="699" t="s">
        <v>87</v>
      </c>
    </row>
    <row r="293" spans="1:42" x14ac:dyDescent="0.2">
      <c r="A293" s="641" t="s">
        <v>281</v>
      </c>
      <c r="B293" s="169">
        <v>11</v>
      </c>
      <c r="C293" s="285" t="str">
        <f t="shared" si="56"/>
        <v>-</v>
      </c>
      <c r="D293" s="739" t="str">
        <f t="shared" si="57"/>
        <v>-</v>
      </c>
      <c r="E293" s="794" t="s">
        <v>90</v>
      </c>
      <c r="F293" s="794" t="s">
        <v>90</v>
      </c>
      <c r="G293" s="794" t="s">
        <v>90</v>
      </c>
      <c r="H293" s="137" t="s">
        <v>90</v>
      </c>
      <c r="I293" s="794" t="s">
        <v>90</v>
      </c>
      <c r="J293" s="137" t="s">
        <v>90</v>
      </c>
      <c r="K293" s="786" t="s">
        <v>710</v>
      </c>
      <c r="L293" s="788">
        <f t="shared" si="58"/>
        <v>0.35</v>
      </c>
      <c r="M293" s="788">
        <f t="shared" si="59"/>
        <v>0.3</v>
      </c>
      <c r="N293" s="788">
        <f t="shared" si="60"/>
        <v>0.75</v>
      </c>
      <c r="P293" s="699" t="s">
        <v>87</v>
      </c>
      <c r="R293" s="785">
        <v>4</v>
      </c>
      <c r="S293" s="743">
        <v>4</v>
      </c>
      <c r="U293" s="4" t="s">
        <v>751</v>
      </c>
      <c r="AP293" s="699" t="s">
        <v>87</v>
      </c>
    </row>
    <row r="294" spans="1:42" x14ac:dyDescent="0.2">
      <c r="A294" s="641" t="s">
        <v>946</v>
      </c>
      <c r="B294" s="169">
        <v>12</v>
      </c>
      <c r="C294" s="285" t="str">
        <f t="shared" si="56"/>
        <v>-</v>
      </c>
      <c r="D294" s="739" t="str">
        <f t="shared" si="57"/>
        <v>-</v>
      </c>
      <c r="E294" s="794" t="s">
        <v>90</v>
      </c>
      <c r="F294" s="794" t="s">
        <v>90</v>
      </c>
      <c r="G294" s="794" t="s">
        <v>90</v>
      </c>
      <c r="H294" s="137" t="s">
        <v>90</v>
      </c>
      <c r="I294" s="794" t="s">
        <v>90</v>
      </c>
      <c r="J294" s="137" t="s">
        <v>90</v>
      </c>
      <c r="K294" s="786" t="s">
        <v>350</v>
      </c>
      <c r="L294" s="788">
        <f t="shared" si="58"/>
        <v>0.35</v>
      </c>
      <c r="M294" s="788">
        <f t="shared" si="59"/>
        <v>0.3</v>
      </c>
      <c r="N294" s="788">
        <f t="shared" si="60"/>
        <v>0.5</v>
      </c>
      <c r="P294" s="699" t="s">
        <v>87</v>
      </c>
      <c r="R294" s="785">
        <v>4</v>
      </c>
      <c r="S294" s="743">
        <v>4</v>
      </c>
      <c r="U294" s="4" t="s">
        <v>751</v>
      </c>
      <c r="AP294" s="699" t="s">
        <v>87</v>
      </c>
    </row>
    <row r="295" spans="1:42" x14ac:dyDescent="0.2">
      <c r="A295" s="641" t="s">
        <v>947</v>
      </c>
      <c r="B295" s="169">
        <v>13</v>
      </c>
      <c r="C295" s="285" t="str">
        <f t="shared" si="56"/>
        <v>-</v>
      </c>
      <c r="D295" s="739" t="str">
        <f t="shared" si="57"/>
        <v>-</v>
      </c>
      <c r="E295" s="794" t="s">
        <v>90</v>
      </c>
      <c r="F295" s="794" t="s">
        <v>90</v>
      </c>
      <c r="G295" s="794" t="s">
        <v>90</v>
      </c>
      <c r="H295" s="137" t="s">
        <v>90</v>
      </c>
      <c r="I295" s="794" t="s">
        <v>90</v>
      </c>
      <c r="J295" s="137" t="s">
        <v>90</v>
      </c>
      <c r="K295" s="786" t="s">
        <v>709</v>
      </c>
      <c r="L295" s="788">
        <f t="shared" si="58"/>
        <v>0.45</v>
      </c>
      <c r="M295" s="788">
        <f t="shared" si="59"/>
        <v>0.4</v>
      </c>
      <c r="N295" s="788">
        <f t="shared" si="60"/>
        <v>0.25</v>
      </c>
      <c r="P295" s="699" t="s">
        <v>87</v>
      </c>
      <c r="R295" s="785">
        <v>5</v>
      </c>
      <c r="S295" s="743">
        <v>6</v>
      </c>
      <c r="U295" s="4" t="s">
        <v>749</v>
      </c>
      <c r="AP295" s="699" t="s">
        <v>87</v>
      </c>
    </row>
    <row r="296" spans="1:42" x14ac:dyDescent="0.2">
      <c r="A296" s="641" t="s">
        <v>948</v>
      </c>
      <c r="B296" s="169">
        <v>14</v>
      </c>
      <c r="C296" s="285" t="str">
        <f t="shared" si="56"/>
        <v>-</v>
      </c>
      <c r="D296" s="739" t="str">
        <f t="shared" si="57"/>
        <v>-</v>
      </c>
      <c r="E296" s="794" t="s">
        <v>90</v>
      </c>
      <c r="F296" s="794" t="s">
        <v>90</v>
      </c>
      <c r="G296" s="794" t="s">
        <v>90</v>
      </c>
      <c r="H296" s="137" t="s">
        <v>90</v>
      </c>
      <c r="I296" s="794" t="s">
        <v>90</v>
      </c>
      <c r="J296" s="137" t="s">
        <v>90</v>
      </c>
      <c r="K296" s="786" t="s">
        <v>709</v>
      </c>
      <c r="L296" s="788">
        <f t="shared" si="58"/>
        <v>0.45</v>
      </c>
      <c r="M296" s="788">
        <f t="shared" si="59"/>
        <v>0.4</v>
      </c>
      <c r="N296" s="788">
        <f t="shared" si="60"/>
        <v>0.25</v>
      </c>
      <c r="P296" s="699" t="s">
        <v>87</v>
      </c>
      <c r="R296" s="785">
        <v>5</v>
      </c>
      <c r="S296" s="743">
        <v>6</v>
      </c>
      <c r="U296" s="4" t="s">
        <v>754</v>
      </c>
      <c r="AP296" s="699" t="s">
        <v>87</v>
      </c>
    </row>
    <row r="297" spans="1:42" x14ac:dyDescent="0.2">
      <c r="A297" s="641" t="s">
        <v>284</v>
      </c>
      <c r="B297" s="169">
        <v>15</v>
      </c>
      <c r="C297" s="285" t="str">
        <f t="shared" si="56"/>
        <v>-</v>
      </c>
      <c r="D297" s="739" t="str">
        <f t="shared" si="57"/>
        <v>-</v>
      </c>
      <c r="E297" s="794" t="s">
        <v>90</v>
      </c>
      <c r="F297" s="794" t="s">
        <v>90</v>
      </c>
      <c r="G297" s="794" t="s">
        <v>90</v>
      </c>
      <c r="H297" s="137" t="s">
        <v>90</v>
      </c>
      <c r="I297" s="794" t="s">
        <v>90</v>
      </c>
      <c r="J297" s="137" t="s">
        <v>90</v>
      </c>
      <c r="K297" s="786" t="s">
        <v>709</v>
      </c>
      <c r="L297" s="788">
        <f t="shared" si="58"/>
        <v>0.45</v>
      </c>
      <c r="M297" s="788">
        <f t="shared" si="59"/>
        <v>0.4</v>
      </c>
      <c r="N297" s="788">
        <f t="shared" si="60"/>
        <v>0.25</v>
      </c>
      <c r="P297" s="699" t="s">
        <v>87</v>
      </c>
      <c r="R297" s="785">
        <v>5</v>
      </c>
      <c r="S297" s="743">
        <v>6</v>
      </c>
      <c r="U297" s="4" t="s">
        <v>749</v>
      </c>
      <c r="AP297" s="699" t="s">
        <v>87</v>
      </c>
    </row>
    <row r="298" spans="1:42" x14ac:dyDescent="0.2">
      <c r="A298" s="641" t="s">
        <v>949</v>
      </c>
      <c r="B298" s="169">
        <v>16</v>
      </c>
      <c r="C298" s="285" t="str">
        <f t="shared" si="56"/>
        <v>-</v>
      </c>
      <c r="D298" s="739" t="str">
        <f t="shared" si="57"/>
        <v>-</v>
      </c>
      <c r="E298" s="794" t="s">
        <v>90</v>
      </c>
      <c r="F298" s="794" t="s">
        <v>90</v>
      </c>
      <c r="G298" s="794" t="s">
        <v>90</v>
      </c>
      <c r="H298" s="137" t="s">
        <v>90</v>
      </c>
      <c r="I298" s="794" t="s">
        <v>90</v>
      </c>
      <c r="J298" s="137" t="s">
        <v>90</v>
      </c>
      <c r="K298" s="786" t="s">
        <v>710</v>
      </c>
      <c r="L298" s="788">
        <f t="shared" si="58"/>
        <v>0.45</v>
      </c>
      <c r="M298" s="788">
        <f t="shared" si="59"/>
        <v>0.4</v>
      </c>
      <c r="N298" s="788">
        <f t="shared" si="60"/>
        <v>0.75</v>
      </c>
      <c r="P298" s="699" t="s">
        <v>87</v>
      </c>
      <c r="R298" s="785">
        <v>5</v>
      </c>
      <c r="S298" s="743">
        <v>6</v>
      </c>
      <c r="U298" s="4" t="s">
        <v>751</v>
      </c>
      <c r="AP298" s="699" t="s">
        <v>87</v>
      </c>
    </row>
    <row r="299" spans="1:42" x14ac:dyDescent="0.2">
      <c r="A299" s="641" t="s">
        <v>950</v>
      </c>
      <c r="B299" s="169">
        <v>17</v>
      </c>
      <c r="C299" s="285" t="str">
        <f t="shared" si="56"/>
        <v>-</v>
      </c>
      <c r="D299" s="739" t="str">
        <f t="shared" si="57"/>
        <v>-</v>
      </c>
      <c r="E299" s="794" t="s">
        <v>90</v>
      </c>
      <c r="F299" s="794" t="s">
        <v>90</v>
      </c>
      <c r="G299" s="794" t="s">
        <v>90</v>
      </c>
      <c r="H299" s="137" t="s">
        <v>90</v>
      </c>
      <c r="I299" s="794" t="s">
        <v>90</v>
      </c>
      <c r="J299" s="137" t="s">
        <v>90</v>
      </c>
      <c r="K299" s="786" t="s">
        <v>710</v>
      </c>
      <c r="L299" s="788">
        <f t="shared" si="58"/>
        <v>0.45</v>
      </c>
      <c r="M299" s="788">
        <f t="shared" si="59"/>
        <v>0.4</v>
      </c>
      <c r="N299" s="788">
        <f t="shared" si="60"/>
        <v>0.75</v>
      </c>
      <c r="P299" s="699" t="s">
        <v>87</v>
      </c>
      <c r="R299" s="785">
        <v>5</v>
      </c>
      <c r="S299" s="743">
        <v>6</v>
      </c>
      <c r="U299" s="4" t="s">
        <v>751</v>
      </c>
      <c r="AP299" s="699" t="s">
        <v>87</v>
      </c>
    </row>
    <row r="300" spans="1:42" x14ac:dyDescent="0.2">
      <c r="A300" s="641" t="s">
        <v>951</v>
      </c>
      <c r="B300" s="169">
        <v>18</v>
      </c>
      <c r="C300" s="285" t="str">
        <f t="shared" si="56"/>
        <v>-</v>
      </c>
      <c r="D300" s="739" t="str">
        <f t="shared" si="57"/>
        <v>-</v>
      </c>
      <c r="E300" s="794" t="s">
        <v>90</v>
      </c>
      <c r="F300" s="794" t="s">
        <v>90</v>
      </c>
      <c r="G300" s="794" t="s">
        <v>90</v>
      </c>
      <c r="H300" s="137" t="s">
        <v>90</v>
      </c>
      <c r="I300" s="794" t="s">
        <v>90</v>
      </c>
      <c r="J300" s="137" t="s">
        <v>90</v>
      </c>
      <c r="K300" s="786" t="s">
        <v>710</v>
      </c>
      <c r="L300" s="788">
        <f t="shared" si="58"/>
        <v>0.45</v>
      </c>
      <c r="M300" s="788">
        <f t="shared" si="59"/>
        <v>0.4</v>
      </c>
      <c r="N300" s="788">
        <f t="shared" si="60"/>
        <v>0.75</v>
      </c>
      <c r="P300" s="699" t="s">
        <v>87</v>
      </c>
      <c r="R300" s="785">
        <v>5</v>
      </c>
      <c r="S300" s="743">
        <v>6</v>
      </c>
      <c r="U300" s="4" t="s">
        <v>751</v>
      </c>
      <c r="AP300" s="699" t="s">
        <v>87</v>
      </c>
    </row>
    <row r="301" spans="1:42" x14ac:dyDescent="0.2">
      <c r="A301" s="641" t="s">
        <v>952</v>
      </c>
      <c r="B301" s="169">
        <v>19</v>
      </c>
      <c r="C301" s="285" t="str">
        <f t="shared" si="56"/>
        <v>-</v>
      </c>
      <c r="D301" s="739" t="str">
        <f t="shared" si="57"/>
        <v>-</v>
      </c>
      <c r="E301" s="794" t="s">
        <v>90</v>
      </c>
      <c r="F301" s="794" t="s">
        <v>90</v>
      </c>
      <c r="G301" s="794" t="s">
        <v>90</v>
      </c>
      <c r="H301" s="137" t="s">
        <v>90</v>
      </c>
      <c r="I301" s="794" t="s">
        <v>90</v>
      </c>
      <c r="J301" s="137" t="s">
        <v>90</v>
      </c>
      <c r="K301" s="786" t="s">
        <v>710</v>
      </c>
      <c r="L301" s="788">
        <f t="shared" si="58"/>
        <v>0.45</v>
      </c>
      <c r="M301" s="788">
        <f t="shared" si="59"/>
        <v>0.4</v>
      </c>
      <c r="N301" s="788">
        <f t="shared" si="60"/>
        <v>0.75</v>
      </c>
      <c r="P301" s="699" t="s">
        <v>87</v>
      </c>
      <c r="R301" s="785">
        <v>5</v>
      </c>
      <c r="S301" s="743">
        <v>6</v>
      </c>
      <c r="U301" s="4" t="s">
        <v>751</v>
      </c>
      <c r="AP301" s="699" t="s">
        <v>87</v>
      </c>
    </row>
    <row r="302" spans="1:42" x14ac:dyDescent="0.2">
      <c r="A302" s="641" t="s">
        <v>204</v>
      </c>
      <c r="B302" s="169">
        <v>20</v>
      </c>
      <c r="C302" s="285" t="str">
        <f t="shared" si="56"/>
        <v>-</v>
      </c>
      <c r="D302" s="739" t="str">
        <f t="shared" si="57"/>
        <v>-</v>
      </c>
      <c r="E302" s="794" t="s">
        <v>90</v>
      </c>
      <c r="F302" s="794" t="s">
        <v>90</v>
      </c>
      <c r="G302" s="794" t="s">
        <v>90</v>
      </c>
      <c r="H302" s="137" t="s">
        <v>90</v>
      </c>
      <c r="I302" s="794" t="s">
        <v>90</v>
      </c>
      <c r="J302" s="137" t="s">
        <v>90</v>
      </c>
      <c r="K302" s="786" t="s">
        <v>706</v>
      </c>
      <c r="L302" s="788">
        <f t="shared" si="58"/>
        <v>0.5</v>
      </c>
      <c r="M302" s="788">
        <f t="shared" si="59"/>
        <v>0.35</v>
      </c>
      <c r="N302" s="788">
        <f t="shared" si="60"/>
        <v>0.75</v>
      </c>
      <c r="P302" s="699" t="s">
        <v>87</v>
      </c>
      <c r="R302" s="785">
        <v>6</v>
      </c>
      <c r="S302" s="743">
        <v>5</v>
      </c>
      <c r="U302" s="4" t="s">
        <v>754</v>
      </c>
      <c r="AP302" s="699" t="s">
        <v>87</v>
      </c>
    </row>
    <row r="303" spans="1:42" x14ac:dyDescent="0.2">
      <c r="A303" s="641" t="s">
        <v>953</v>
      </c>
      <c r="B303" s="169">
        <v>21</v>
      </c>
      <c r="C303" s="285" t="str">
        <f t="shared" si="56"/>
        <v>-</v>
      </c>
      <c r="D303" s="739" t="str">
        <f t="shared" si="57"/>
        <v>-</v>
      </c>
      <c r="E303" s="794" t="s">
        <v>90</v>
      </c>
      <c r="F303" s="794" t="s">
        <v>90</v>
      </c>
      <c r="G303" s="794" t="s">
        <v>90</v>
      </c>
      <c r="H303" s="137" t="s">
        <v>90</v>
      </c>
      <c r="I303" s="794" t="s">
        <v>90</v>
      </c>
      <c r="J303" s="137" t="s">
        <v>90</v>
      </c>
      <c r="K303" s="786" t="s">
        <v>707</v>
      </c>
      <c r="L303" s="788">
        <f t="shared" si="58"/>
        <v>0.5</v>
      </c>
      <c r="M303" s="788">
        <f t="shared" si="59"/>
        <v>0.35</v>
      </c>
      <c r="N303" s="788">
        <f t="shared" si="60"/>
        <v>0.75</v>
      </c>
      <c r="P303" s="699" t="s">
        <v>87</v>
      </c>
      <c r="R303" s="785">
        <v>6</v>
      </c>
      <c r="S303" s="743">
        <v>5</v>
      </c>
      <c r="U303" s="4" t="s">
        <v>754</v>
      </c>
      <c r="AP303" s="699" t="s">
        <v>87</v>
      </c>
    </row>
    <row r="304" spans="1:42" x14ac:dyDescent="0.2">
      <c r="A304" s="97" t="s">
        <v>274</v>
      </c>
      <c r="B304" s="162">
        <v>22</v>
      </c>
      <c r="C304" s="153" t="str">
        <f t="shared" si="56"/>
        <v>-</v>
      </c>
      <c r="D304" s="756" t="str">
        <f t="shared" si="57"/>
        <v>-</v>
      </c>
      <c r="E304" s="796" t="s">
        <v>90</v>
      </c>
      <c r="F304" s="796" t="s">
        <v>90</v>
      </c>
      <c r="G304" s="796" t="s">
        <v>90</v>
      </c>
      <c r="H304" s="139" t="s">
        <v>90</v>
      </c>
      <c r="I304" s="796" t="s">
        <v>90</v>
      </c>
      <c r="J304" s="139" t="s">
        <v>90</v>
      </c>
      <c r="K304" s="789" t="s">
        <v>711</v>
      </c>
      <c r="L304" s="791">
        <f t="shared" si="58"/>
        <v>0.5</v>
      </c>
      <c r="M304" s="791">
        <f t="shared" si="59"/>
        <v>0.35</v>
      </c>
      <c r="N304" s="791">
        <f t="shared" si="60"/>
        <v>0.5</v>
      </c>
      <c r="P304" s="699" t="s">
        <v>87</v>
      </c>
      <c r="R304" s="792">
        <v>6</v>
      </c>
      <c r="S304" s="762">
        <v>5</v>
      </c>
      <c r="U304" s="4" t="s">
        <v>754</v>
      </c>
      <c r="AP304" s="699" t="s">
        <v>87</v>
      </c>
    </row>
    <row r="305" spans="1:42" x14ac:dyDescent="0.2">
      <c r="P305" s="699" t="s">
        <v>87</v>
      </c>
      <c r="AP305" s="699" t="s">
        <v>87</v>
      </c>
    </row>
    <row r="306" spans="1:42" x14ac:dyDescent="0.2">
      <c r="A306" s="699" t="s">
        <v>87</v>
      </c>
      <c r="B306" s="699" t="s">
        <v>87</v>
      </c>
      <c r="C306" s="699" t="s">
        <v>87</v>
      </c>
      <c r="D306" s="699" t="s">
        <v>87</v>
      </c>
      <c r="E306" s="699" t="s">
        <v>87</v>
      </c>
      <c r="F306" s="699" t="s">
        <v>87</v>
      </c>
      <c r="G306" s="699" t="s">
        <v>87</v>
      </c>
      <c r="H306" s="699" t="s">
        <v>87</v>
      </c>
      <c r="I306" s="699" t="s">
        <v>87</v>
      </c>
      <c r="J306" s="699" t="s">
        <v>87</v>
      </c>
      <c r="K306" s="699" t="s">
        <v>87</v>
      </c>
      <c r="L306" s="699" t="s">
        <v>87</v>
      </c>
      <c r="M306" s="699" t="s">
        <v>87</v>
      </c>
      <c r="N306" s="699" t="s">
        <v>87</v>
      </c>
      <c r="O306" s="699" t="s">
        <v>87</v>
      </c>
      <c r="P306" s="699" t="s">
        <v>87</v>
      </c>
      <c r="Q306" s="699" t="s">
        <v>87</v>
      </c>
      <c r="R306" s="699" t="s">
        <v>87</v>
      </c>
      <c r="S306" s="699" t="s">
        <v>87</v>
      </c>
      <c r="T306" s="699" t="s">
        <v>87</v>
      </c>
      <c r="U306" s="699" t="s">
        <v>87</v>
      </c>
      <c r="V306" s="699" t="s">
        <v>87</v>
      </c>
      <c r="W306" s="699" t="s">
        <v>87</v>
      </c>
      <c r="X306" s="699" t="s">
        <v>87</v>
      </c>
      <c r="Y306" s="699" t="s">
        <v>87</v>
      </c>
      <c r="Z306" s="699" t="s">
        <v>87</v>
      </c>
      <c r="AA306" s="699" t="s">
        <v>87</v>
      </c>
      <c r="AB306" s="699" t="s">
        <v>87</v>
      </c>
      <c r="AC306" s="699" t="s">
        <v>87</v>
      </c>
      <c r="AD306" s="699" t="s">
        <v>87</v>
      </c>
      <c r="AE306" s="699" t="s">
        <v>87</v>
      </c>
      <c r="AF306" s="699" t="s">
        <v>87</v>
      </c>
      <c r="AG306" s="699" t="s">
        <v>87</v>
      </c>
      <c r="AH306" s="699" t="s">
        <v>87</v>
      </c>
      <c r="AI306" s="699" t="s">
        <v>87</v>
      </c>
      <c r="AJ306" s="699" t="s">
        <v>87</v>
      </c>
      <c r="AK306" s="699" t="s">
        <v>87</v>
      </c>
      <c r="AL306" s="699" t="s">
        <v>87</v>
      </c>
      <c r="AM306" s="699" t="s">
        <v>87</v>
      </c>
      <c r="AN306" s="699" t="s">
        <v>87</v>
      </c>
      <c r="AO306" s="699" t="s">
        <v>87</v>
      </c>
      <c r="AP306" s="699" t="s">
        <v>87</v>
      </c>
    </row>
  </sheetData>
  <mergeCells count="3">
    <mergeCell ref="G5:G6"/>
    <mergeCell ref="H5:H6"/>
    <mergeCell ref="I5:I6"/>
  </mergeCells>
  <dataValidations count="1">
    <dataValidation type="list" allowBlank="1" showInputMessage="1" showErrorMessage="1" sqref="K252">
      <formula1>$AJ$7:$AN$7</formula1>
    </dataValidation>
  </dataValidations>
  <pageMargins left="0.23622047244094491" right="0.23622047244094491" top="0.74803149606299213" bottom="0.74803149606299213" header="0.31496062992125984" footer="0.31496062992125984"/>
  <pageSetup paperSize="9" orientation="landscape" r:id="rId1"/>
  <headerFooter>
    <oddFooter>&amp;A&amp;RPage &amp;P</oddFooter>
  </headerFooter>
  <rowBreaks count="11" manualBreakCount="11">
    <brk id="16" max="16383" man="1"/>
    <brk id="36" max="16383" man="1"/>
    <brk id="61" max="16383" man="1"/>
    <brk id="86" max="16383" man="1"/>
    <brk id="106" max="16383" man="1"/>
    <brk id="120" max="16383" man="1"/>
    <brk id="186" max="16383" man="1"/>
    <brk id="203" max="16383" man="1"/>
    <brk id="222" max="16383" man="1"/>
    <brk id="253" max="16383" man="1"/>
    <brk id="27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rgb="FFFFFF00"/>
  </sheetPr>
  <dimension ref="A1:U84"/>
  <sheetViews>
    <sheetView topLeftCell="A5" workbookViewId="0">
      <selection activeCell="A5" sqref="A5"/>
    </sheetView>
  </sheetViews>
  <sheetFormatPr defaultRowHeight="12.75" x14ac:dyDescent="0.2"/>
  <cols>
    <col min="1" max="1" width="32.28515625" customWidth="1"/>
    <col min="2" max="2" width="3.28515625" customWidth="1"/>
    <col min="20" max="20" width="3" customWidth="1"/>
    <col min="21" max="21" width="2" customWidth="1"/>
    <col min="23" max="23" width="19.140625" customWidth="1"/>
  </cols>
  <sheetData>
    <row r="1" spans="1:21" ht="14.25" x14ac:dyDescent="0.2">
      <c r="A1" s="93" t="str">
        <f>FT15.Participant!$A$1</f>
        <v>&lt;IAIG's Name&gt;</v>
      </c>
      <c r="B1" s="94"/>
      <c r="C1" s="94"/>
      <c r="D1" s="94"/>
      <c r="E1" s="94"/>
      <c r="F1" s="94"/>
      <c r="G1" s="94"/>
      <c r="H1" s="94"/>
      <c r="I1" s="94"/>
      <c r="J1" s="94"/>
      <c r="K1" s="94"/>
      <c r="L1" s="94"/>
      <c r="M1" s="94"/>
      <c r="N1" s="94"/>
      <c r="O1" s="94"/>
      <c r="P1" s="94"/>
      <c r="Q1" s="94"/>
      <c r="R1" s="94"/>
      <c r="S1" s="95" t="str">
        <f ca="1">HYPERLINK("#"&amp;CELL("address",FT15.IndexSheet),Version)</f>
        <v>2015 IAIS Field Testing Template</v>
      </c>
      <c r="U1" s="96" t="s">
        <v>87</v>
      </c>
    </row>
    <row r="2" spans="1:21" ht="15" x14ac:dyDescent="0.25">
      <c r="A2" s="97" t="str">
        <f>FT15.Participant!$A$2</f>
        <v>&lt;Currency&gt; - (&lt;Unit&gt;)</v>
      </c>
      <c r="B2" s="98" t="s">
        <v>955</v>
      </c>
      <c r="C2" s="99"/>
      <c r="D2" s="99"/>
      <c r="E2" s="99"/>
      <c r="F2" s="99"/>
      <c r="G2" s="99"/>
      <c r="H2" s="99"/>
      <c r="I2" s="99"/>
      <c r="J2" s="99"/>
      <c r="K2" s="99"/>
      <c r="L2" s="99"/>
      <c r="M2" s="99"/>
      <c r="N2" s="99"/>
      <c r="O2" s="99"/>
      <c r="P2" s="99"/>
      <c r="Q2" s="99"/>
      <c r="R2" s="99"/>
      <c r="S2" s="100" t="str">
        <f>FT15.Participant!$E$2</f>
        <v xml:space="preserve">&lt;Reporting Date&gt; - </v>
      </c>
      <c r="U2" s="96" t="s">
        <v>87</v>
      </c>
    </row>
    <row r="3" spans="1:21" ht="14.25" x14ac:dyDescent="0.2">
      <c r="U3" s="96" t="s">
        <v>87</v>
      </c>
    </row>
    <row r="4" spans="1:21" ht="14.25" x14ac:dyDescent="0.2">
      <c r="U4" s="96" t="s">
        <v>87</v>
      </c>
    </row>
    <row r="5" spans="1:21" ht="51" x14ac:dyDescent="0.2">
      <c r="A5" s="120" t="s">
        <v>956</v>
      </c>
      <c r="B5" s="121"/>
      <c r="C5" s="808" t="s">
        <v>957</v>
      </c>
      <c r="D5" s="808" t="s">
        <v>958</v>
      </c>
      <c r="E5" s="808" t="s">
        <v>691</v>
      </c>
      <c r="U5" s="96" t="s">
        <v>87</v>
      </c>
    </row>
    <row r="6" spans="1:21" ht="15" x14ac:dyDescent="0.2">
      <c r="A6" s="809"/>
      <c r="B6" s="104">
        <v>73</v>
      </c>
      <c r="C6" s="167">
        <v>1</v>
      </c>
      <c r="D6" s="167">
        <v>2</v>
      </c>
      <c r="E6" s="214">
        <v>3</v>
      </c>
      <c r="S6" s="810"/>
      <c r="U6" s="96" t="s">
        <v>87</v>
      </c>
    </row>
    <row r="7" spans="1:21" ht="14.25" x14ac:dyDescent="0.2">
      <c r="A7" s="93" t="s">
        <v>959</v>
      </c>
      <c r="B7" s="234">
        <v>1</v>
      </c>
      <c r="C7" s="282">
        <f>SQRT(SUMPRODUCT(C8:C14,C8:C14,--(C8:C14&gt;0)))</f>
        <v>0</v>
      </c>
      <c r="D7" s="423">
        <f>SQRT(SUMPRODUCT(D8:D14,D8:D14,--(D8:D14&gt;0)))</f>
        <v>0</v>
      </c>
      <c r="E7" s="423">
        <f>SQRT(SUMPRODUCT(E8:E14,E8:E14,--(E8:E14&gt;0)))</f>
        <v>0</v>
      </c>
      <c r="U7" s="96" t="s">
        <v>87</v>
      </c>
    </row>
    <row r="8" spans="1:21" ht="14.25" x14ac:dyDescent="0.2">
      <c r="A8" s="644" t="s">
        <v>960</v>
      </c>
      <c r="B8" s="234">
        <v>2</v>
      </c>
      <c r="C8" s="133" t="str">
        <f>C24</f>
        <v>-</v>
      </c>
      <c r="D8" s="133" t="str">
        <f>C42</f>
        <v>-</v>
      </c>
      <c r="E8" s="811" t="str">
        <f>D8</f>
        <v>-</v>
      </c>
      <c r="U8" s="96" t="s">
        <v>87</v>
      </c>
    </row>
    <row r="9" spans="1:21" ht="14.25" x14ac:dyDescent="0.2">
      <c r="A9" s="644" t="s">
        <v>961</v>
      </c>
      <c r="B9" s="234">
        <v>3</v>
      </c>
      <c r="C9" s="133">
        <f>C54</f>
        <v>0</v>
      </c>
      <c r="D9" s="811">
        <f>D54</f>
        <v>0</v>
      </c>
      <c r="E9" s="811">
        <f>D9</f>
        <v>0</v>
      </c>
      <c r="U9" s="96" t="s">
        <v>87</v>
      </c>
    </row>
    <row r="10" spans="1:21" ht="14.25" x14ac:dyDescent="0.2">
      <c r="A10" s="644" t="s">
        <v>608</v>
      </c>
      <c r="B10" s="234">
        <v>4</v>
      </c>
      <c r="C10" s="133">
        <f>C58</f>
        <v>0</v>
      </c>
      <c r="D10" s="811">
        <f>D58</f>
        <v>0</v>
      </c>
      <c r="E10" s="811">
        <f>D10</f>
        <v>0</v>
      </c>
      <c r="U10" s="96" t="s">
        <v>87</v>
      </c>
    </row>
    <row r="11" spans="1:21" ht="14.25" x14ac:dyDescent="0.2">
      <c r="A11" s="644" t="s">
        <v>962</v>
      </c>
      <c r="B11" s="234">
        <v>5</v>
      </c>
      <c r="C11" s="133">
        <f>C65</f>
        <v>0</v>
      </c>
      <c r="D11" s="811">
        <f>D65</f>
        <v>0</v>
      </c>
      <c r="E11" s="811">
        <f>F65</f>
        <v>0</v>
      </c>
      <c r="L11" s="812"/>
      <c r="U11" s="96" t="s">
        <v>87</v>
      </c>
    </row>
    <row r="12" spans="1:21" ht="14.25" x14ac:dyDescent="0.2">
      <c r="A12" s="644" t="s">
        <v>785</v>
      </c>
      <c r="B12" s="234">
        <v>6</v>
      </c>
      <c r="C12" s="133">
        <f>C72</f>
        <v>0</v>
      </c>
      <c r="D12" s="811">
        <f>D72</f>
        <v>0</v>
      </c>
      <c r="E12" s="811">
        <f>D12</f>
        <v>0</v>
      </c>
      <c r="L12" s="812"/>
      <c r="U12" s="96" t="s">
        <v>87</v>
      </c>
    </row>
    <row r="13" spans="1:21" ht="14.25" x14ac:dyDescent="0.2">
      <c r="A13" s="644" t="s">
        <v>813</v>
      </c>
      <c r="B13" s="234">
        <v>7</v>
      </c>
      <c r="C13" s="133">
        <f>C76</f>
        <v>0</v>
      </c>
      <c r="D13" s="811">
        <f>D76</f>
        <v>0</v>
      </c>
      <c r="E13" s="811">
        <f>D13</f>
        <v>0</v>
      </c>
      <c r="U13" s="96" t="s">
        <v>87</v>
      </c>
    </row>
    <row r="14" spans="1:21" ht="14.25" x14ac:dyDescent="0.2">
      <c r="A14" s="647" t="s">
        <v>963</v>
      </c>
      <c r="B14" s="261">
        <v>8</v>
      </c>
      <c r="C14" s="313">
        <f>C79</f>
        <v>0</v>
      </c>
      <c r="D14" s="649">
        <f>D79</f>
        <v>0</v>
      </c>
      <c r="E14" s="649">
        <f>D14</f>
        <v>0</v>
      </c>
      <c r="U14" s="96" t="s">
        <v>87</v>
      </c>
    </row>
    <row r="15" spans="1:21" ht="14.25" x14ac:dyDescent="0.2">
      <c r="U15" s="96" t="s">
        <v>87</v>
      </c>
    </row>
    <row r="16" spans="1:21" ht="18" x14ac:dyDescent="0.25">
      <c r="A16" s="813"/>
      <c r="B16" s="207"/>
      <c r="C16" s="814" t="s">
        <v>964</v>
      </c>
      <c r="D16" s="814"/>
      <c r="E16" s="814"/>
      <c r="F16" s="814"/>
      <c r="G16" s="814"/>
      <c r="H16" s="814"/>
      <c r="I16" s="814"/>
      <c r="J16" s="814"/>
      <c r="K16" s="814"/>
      <c r="L16" s="814"/>
      <c r="M16" s="814"/>
      <c r="N16" s="814"/>
      <c r="O16" s="815"/>
      <c r="P16" s="814"/>
      <c r="Q16" s="814"/>
      <c r="R16" s="814"/>
      <c r="S16" s="815"/>
      <c r="U16" s="96" t="s">
        <v>87</v>
      </c>
    </row>
    <row r="17" spans="1:21" ht="28.5" x14ac:dyDescent="0.25">
      <c r="A17" s="816" t="s">
        <v>965</v>
      </c>
      <c r="B17" s="817"/>
      <c r="C17" s="444" t="s">
        <v>966</v>
      </c>
      <c r="D17" s="818" t="s">
        <v>967</v>
      </c>
      <c r="E17" s="819"/>
      <c r="F17" s="819"/>
      <c r="G17" s="819"/>
      <c r="H17" s="819" t="s">
        <v>968</v>
      </c>
      <c r="I17" s="819"/>
      <c r="J17" s="819"/>
      <c r="K17" s="819" t="s">
        <v>969</v>
      </c>
      <c r="L17" s="819"/>
      <c r="M17" s="819"/>
      <c r="N17" s="819"/>
      <c r="O17" s="819"/>
      <c r="P17" s="820" t="s">
        <v>970</v>
      </c>
      <c r="Q17" s="819"/>
      <c r="R17" s="819"/>
      <c r="S17" s="819"/>
      <c r="U17" s="96" t="s">
        <v>87</v>
      </c>
    </row>
    <row r="18" spans="1:21" ht="57" x14ac:dyDescent="0.2">
      <c r="A18" s="821"/>
      <c r="B18" s="822" t="s">
        <v>971</v>
      </c>
      <c r="C18" s="823" t="s">
        <v>972</v>
      </c>
      <c r="D18" s="823" t="s">
        <v>973</v>
      </c>
      <c r="E18" s="824" t="s">
        <v>974</v>
      </c>
      <c r="F18" s="825" t="s">
        <v>723</v>
      </c>
      <c r="G18" s="825" t="s">
        <v>350</v>
      </c>
      <c r="H18" s="823" t="s">
        <v>975</v>
      </c>
      <c r="I18" s="825" t="s">
        <v>976</v>
      </c>
      <c r="J18" s="825" t="s">
        <v>350</v>
      </c>
      <c r="K18" s="823" t="s">
        <v>977</v>
      </c>
      <c r="L18" s="825" t="s">
        <v>978</v>
      </c>
      <c r="M18" s="825" t="s">
        <v>723</v>
      </c>
      <c r="N18" s="825" t="s">
        <v>976</v>
      </c>
      <c r="O18" s="825" t="s">
        <v>350</v>
      </c>
      <c r="P18" s="823" t="s">
        <v>979</v>
      </c>
      <c r="Q18" s="825" t="s">
        <v>980</v>
      </c>
      <c r="R18" s="825" t="s">
        <v>981</v>
      </c>
      <c r="S18" s="825" t="s">
        <v>350</v>
      </c>
      <c r="U18" s="96" t="s">
        <v>87</v>
      </c>
    </row>
    <row r="19" spans="1:21" ht="14.25" x14ac:dyDescent="0.2">
      <c r="A19" s="826"/>
      <c r="B19" s="104">
        <v>74</v>
      </c>
      <c r="C19" s="167">
        <v>1</v>
      </c>
      <c r="D19" s="167">
        <v>2</v>
      </c>
      <c r="E19" s="167">
        <v>3</v>
      </c>
      <c r="F19" s="167">
        <v>4</v>
      </c>
      <c r="G19" s="167">
        <v>5</v>
      </c>
      <c r="H19" s="167">
        <v>6</v>
      </c>
      <c r="I19" s="167">
        <v>7</v>
      </c>
      <c r="J19" s="167">
        <v>8</v>
      </c>
      <c r="K19" s="167">
        <v>9</v>
      </c>
      <c r="L19" s="167">
        <v>10</v>
      </c>
      <c r="M19" s="167">
        <v>11</v>
      </c>
      <c r="N19" s="167">
        <v>12</v>
      </c>
      <c r="O19" s="167">
        <v>13</v>
      </c>
      <c r="P19" s="167">
        <v>14</v>
      </c>
      <c r="Q19" s="167">
        <v>15</v>
      </c>
      <c r="R19" s="167">
        <v>16</v>
      </c>
      <c r="S19" s="214">
        <v>17</v>
      </c>
      <c r="U19" s="96" t="s">
        <v>87</v>
      </c>
    </row>
    <row r="20" spans="1:21" ht="14.25" x14ac:dyDescent="0.2">
      <c r="A20" s="827" t="s">
        <v>982</v>
      </c>
      <c r="B20" s="234">
        <v>1</v>
      </c>
      <c r="C20" s="144" t="s">
        <v>90</v>
      </c>
      <c r="D20" s="144" t="s">
        <v>90</v>
      </c>
      <c r="E20" s="144" t="s">
        <v>90</v>
      </c>
      <c r="F20" s="144" t="s">
        <v>90</v>
      </c>
      <c r="G20" s="144" t="s">
        <v>90</v>
      </c>
      <c r="H20" s="144" t="s">
        <v>90</v>
      </c>
      <c r="I20" s="144" t="s">
        <v>90</v>
      </c>
      <c r="J20" s="144" t="s">
        <v>90</v>
      </c>
      <c r="K20" s="144" t="s">
        <v>90</v>
      </c>
      <c r="L20" s="144" t="s">
        <v>90</v>
      </c>
      <c r="M20" s="144" t="s">
        <v>90</v>
      </c>
      <c r="N20" s="144" t="s">
        <v>90</v>
      </c>
      <c r="O20" s="144" t="s">
        <v>90</v>
      </c>
      <c r="P20" s="144" t="s">
        <v>90</v>
      </c>
      <c r="Q20" s="144" t="s">
        <v>90</v>
      </c>
      <c r="R20" s="144" t="s">
        <v>90</v>
      </c>
      <c r="S20" s="144" t="s">
        <v>90</v>
      </c>
      <c r="U20" s="96" t="s">
        <v>87</v>
      </c>
    </row>
    <row r="21" spans="1:21" ht="25.5" x14ac:dyDescent="0.2">
      <c r="A21" s="828" t="s">
        <v>983</v>
      </c>
      <c r="B21" s="234"/>
      <c r="C21" s="673"/>
      <c r="D21" s="673"/>
      <c r="E21" s="673"/>
      <c r="F21" s="673"/>
      <c r="G21" s="673"/>
      <c r="H21" s="673"/>
      <c r="I21" s="673"/>
      <c r="J21" s="673"/>
      <c r="K21" s="673"/>
      <c r="L21" s="673"/>
      <c r="M21" s="673"/>
      <c r="N21" s="673"/>
      <c r="O21" s="673"/>
      <c r="P21" s="673"/>
      <c r="Q21" s="673"/>
      <c r="R21" s="673"/>
      <c r="S21" s="829"/>
      <c r="U21" s="96" t="s">
        <v>87</v>
      </c>
    </row>
    <row r="22" spans="1:21" ht="14.25" x14ac:dyDescent="0.2">
      <c r="A22" s="830">
        <v>0.9</v>
      </c>
      <c r="B22" s="234">
        <v>2</v>
      </c>
      <c r="C22" s="831" t="s">
        <v>90</v>
      </c>
      <c r="D22" s="831" t="s">
        <v>90</v>
      </c>
      <c r="E22" s="831" t="s">
        <v>90</v>
      </c>
      <c r="F22" s="831" t="s">
        <v>90</v>
      </c>
      <c r="G22" s="831" t="s">
        <v>90</v>
      </c>
      <c r="H22" s="831" t="s">
        <v>90</v>
      </c>
      <c r="I22" s="831" t="s">
        <v>90</v>
      </c>
      <c r="J22" s="831" t="s">
        <v>90</v>
      </c>
      <c r="K22" s="831" t="s">
        <v>90</v>
      </c>
      <c r="L22" s="831" t="s">
        <v>90</v>
      </c>
      <c r="M22" s="831" t="s">
        <v>90</v>
      </c>
      <c r="N22" s="831" t="s">
        <v>90</v>
      </c>
      <c r="O22" s="831" t="s">
        <v>90</v>
      </c>
      <c r="P22" s="831" t="s">
        <v>90</v>
      </c>
      <c r="Q22" s="831" t="s">
        <v>90</v>
      </c>
      <c r="R22" s="831" t="s">
        <v>90</v>
      </c>
      <c r="S22" s="831" t="s">
        <v>90</v>
      </c>
      <c r="U22" s="96" t="s">
        <v>87</v>
      </c>
    </row>
    <row r="23" spans="1:21" ht="14.25" x14ac:dyDescent="0.2">
      <c r="A23" s="832">
        <v>0.99</v>
      </c>
      <c r="B23" s="234">
        <v>3</v>
      </c>
      <c r="C23" s="833" t="s">
        <v>90</v>
      </c>
      <c r="D23" s="833" t="s">
        <v>90</v>
      </c>
      <c r="E23" s="833" t="s">
        <v>90</v>
      </c>
      <c r="F23" s="833" t="s">
        <v>90</v>
      </c>
      <c r="G23" s="833" t="s">
        <v>90</v>
      </c>
      <c r="H23" s="833" t="s">
        <v>90</v>
      </c>
      <c r="I23" s="833" t="s">
        <v>90</v>
      </c>
      <c r="J23" s="833" t="s">
        <v>90</v>
      </c>
      <c r="K23" s="833" t="s">
        <v>90</v>
      </c>
      <c r="L23" s="833" t="s">
        <v>90</v>
      </c>
      <c r="M23" s="833" t="s">
        <v>90</v>
      </c>
      <c r="N23" s="833" t="s">
        <v>90</v>
      </c>
      <c r="O23" s="833" t="s">
        <v>90</v>
      </c>
      <c r="P23" s="833" t="s">
        <v>90</v>
      </c>
      <c r="Q23" s="833" t="s">
        <v>90</v>
      </c>
      <c r="R23" s="833" t="s">
        <v>90</v>
      </c>
      <c r="S23" s="833" t="s">
        <v>90</v>
      </c>
      <c r="U23" s="96" t="s">
        <v>87</v>
      </c>
    </row>
    <row r="24" spans="1:21" ht="14.25" x14ac:dyDescent="0.2">
      <c r="A24" s="832">
        <v>0.995</v>
      </c>
      <c r="B24" s="234">
        <v>4</v>
      </c>
      <c r="C24" s="833" t="s">
        <v>90</v>
      </c>
      <c r="D24" s="833" t="s">
        <v>90</v>
      </c>
      <c r="E24" s="833" t="s">
        <v>90</v>
      </c>
      <c r="F24" s="833" t="s">
        <v>90</v>
      </c>
      <c r="G24" s="833" t="s">
        <v>90</v>
      </c>
      <c r="H24" s="833" t="s">
        <v>90</v>
      </c>
      <c r="I24" s="833" t="s">
        <v>90</v>
      </c>
      <c r="J24" s="833" t="s">
        <v>90</v>
      </c>
      <c r="K24" s="833" t="s">
        <v>90</v>
      </c>
      <c r="L24" s="833" t="s">
        <v>90</v>
      </c>
      <c r="M24" s="833" t="s">
        <v>90</v>
      </c>
      <c r="N24" s="833" t="s">
        <v>90</v>
      </c>
      <c r="O24" s="833" t="s">
        <v>90</v>
      </c>
      <c r="P24" s="833" t="s">
        <v>90</v>
      </c>
      <c r="Q24" s="833" t="s">
        <v>90</v>
      </c>
      <c r="R24" s="833" t="s">
        <v>90</v>
      </c>
      <c r="S24" s="833" t="s">
        <v>90</v>
      </c>
      <c r="U24" s="96" t="s">
        <v>87</v>
      </c>
    </row>
    <row r="25" spans="1:21" ht="14.25" x14ac:dyDescent="0.2">
      <c r="A25" s="832">
        <v>0.996</v>
      </c>
      <c r="B25" s="234">
        <v>5</v>
      </c>
      <c r="C25" s="833" t="s">
        <v>90</v>
      </c>
      <c r="D25" s="833" t="s">
        <v>90</v>
      </c>
      <c r="E25" s="833" t="s">
        <v>90</v>
      </c>
      <c r="F25" s="833" t="s">
        <v>90</v>
      </c>
      <c r="G25" s="833" t="s">
        <v>90</v>
      </c>
      <c r="H25" s="833" t="s">
        <v>90</v>
      </c>
      <c r="I25" s="833" t="s">
        <v>90</v>
      </c>
      <c r="J25" s="833" t="s">
        <v>90</v>
      </c>
      <c r="K25" s="833" t="s">
        <v>90</v>
      </c>
      <c r="L25" s="833" t="s">
        <v>90</v>
      </c>
      <c r="M25" s="833" t="s">
        <v>90</v>
      </c>
      <c r="N25" s="833" t="s">
        <v>90</v>
      </c>
      <c r="O25" s="833" t="s">
        <v>90</v>
      </c>
      <c r="P25" s="833" t="s">
        <v>90</v>
      </c>
      <c r="Q25" s="833" t="s">
        <v>90</v>
      </c>
      <c r="R25" s="833" t="s">
        <v>90</v>
      </c>
      <c r="S25" s="833" t="s">
        <v>90</v>
      </c>
      <c r="U25" s="96" t="s">
        <v>87</v>
      </c>
    </row>
    <row r="26" spans="1:21" ht="14.25" x14ac:dyDescent="0.2">
      <c r="A26" s="832">
        <v>0.998</v>
      </c>
      <c r="B26" s="234">
        <v>6</v>
      </c>
      <c r="C26" s="833" t="s">
        <v>90</v>
      </c>
      <c r="D26" s="833" t="s">
        <v>90</v>
      </c>
      <c r="E26" s="833" t="s">
        <v>90</v>
      </c>
      <c r="F26" s="833" t="s">
        <v>90</v>
      </c>
      <c r="G26" s="833" t="s">
        <v>90</v>
      </c>
      <c r="H26" s="833" t="s">
        <v>90</v>
      </c>
      <c r="I26" s="833" t="s">
        <v>90</v>
      </c>
      <c r="J26" s="833" t="s">
        <v>90</v>
      </c>
      <c r="K26" s="833" t="s">
        <v>90</v>
      </c>
      <c r="L26" s="833" t="s">
        <v>90</v>
      </c>
      <c r="M26" s="833" t="s">
        <v>90</v>
      </c>
      <c r="N26" s="833" t="s">
        <v>90</v>
      </c>
      <c r="O26" s="833" t="s">
        <v>90</v>
      </c>
      <c r="P26" s="833" t="s">
        <v>90</v>
      </c>
      <c r="Q26" s="833" t="s">
        <v>90</v>
      </c>
      <c r="R26" s="833" t="s">
        <v>90</v>
      </c>
      <c r="S26" s="833" t="s">
        <v>90</v>
      </c>
      <c r="U26" s="96" t="s">
        <v>87</v>
      </c>
    </row>
    <row r="27" spans="1:21" ht="14.25" x14ac:dyDescent="0.2">
      <c r="A27" s="832">
        <v>0.999</v>
      </c>
      <c r="B27" s="234">
        <v>7</v>
      </c>
      <c r="C27" s="833" t="s">
        <v>90</v>
      </c>
      <c r="D27" s="833" t="s">
        <v>90</v>
      </c>
      <c r="E27" s="833" t="s">
        <v>90</v>
      </c>
      <c r="F27" s="833" t="s">
        <v>90</v>
      </c>
      <c r="G27" s="833" t="s">
        <v>90</v>
      </c>
      <c r="H27" s="833" t="s">
        <v>90</v>
      </c>
      <c r="I27" s="833" t="s">
        <v>90</v>
      </c>
      <c r="J27" s="833" t="s">
        <v>90</v>
      </c>
      <c r="K27" s="833" t="s">
        <v>90</v>
      </c>
      <c r="L27" s="833" t="s">
        <v>90</v>
      </c>
      <c r="M27" s="833" t="s">
        <v>90</v>
      </c>
      <c r="N27" s="833" t="s">
        <v>90</v>
      </c>
      <c r="O27" s="833" t="s">
        <v>90</v>
      </c>
      <c r="P27" s="833" t="s">
        <v>90</v>
      </c>
      <c r="Q27" s="833" t="s">
        <v>90</v>
      </c>
      <c r="R27" s="833" t="s">
        <v>90</v>
      </c>
      <c r="S27" s="833" t="s">
        <v>90</v>
      </c>
      <c r="U27" s="96" t="s">
        <v>87</v>
      </c>
    </row>
    <row r="28" spans="1:21" ht="14.25" x14ac:dyDescent="0.2">
      <c r="A28" s="834" t="s">
        <v>984</v>
      </c>
      <c r="B28" s="234">
        <v>8</v>
      </c>
      <c r="C28" s="835" t="s">
        <v>90</v>
      </c>
      <c r="D28" s="835" t="s">
        <v>90</v>
      </c>
      <c r="E28" s="835" t="s">
        <v>90</v>
      </c>
      <c r="F28" s="835" t="s">
        <v>90</v>
      </c>
      <c r="G28" s="835" t="s">
        <v>90</v>
      </c>
      <c r="H28" s="835" t="s">
        <v>90</v>
      </c>
      <c r="I28" s="835" t="s">
        <v>90</v>
      </c>
      <c r="J28" s="835" t="s">
        <v>90</v>
      </c>
      <c r="K28" s="835" t="s">
        <v>90</v>
      </c>
      <c r="L28" s="835" t="s">
        <v>90</v>
      </c>
      <c r="M28" s="835" t="s">
        <v>90</v>
      </c>
      <c r="N28" s="835" t="s">
        <v>90</v>
      </c>
      <c r="O28" s="835" t="s">
        <v>90</v>
      </c>
      <c r="P28" s="835" t="s">
        <v>90</v>
      </c>
      <c r="Q28" s="835" t="s">
        <v>90</v>
      </c>
      <c r="R28" s="835" t="s">
        <v>90</v>
      </c>
      <c r="S28" s="835" t="s">
        <v>90</v>
      </c>
      <c r="U28" s="96" t="s">
        <v>87</v>
      </c>
    </row>
    <row r="29" spans="1:21" ht="25.5" x14ac:dyDescent="0.2">
      <c r="A29" s="828" t="s">
        <v>985</v>
      </c>
      <c r="B29" s="234"/>
      <c r="C29" s="673"/>
      <c r="D29" s="673"/>
      <c r="E29" s="673"/>
      <c r="F29" s="673"/>
      <c r="G29" s="673"/>
      <c r="H29" s="673"/>
      <c r="I29" s="673"/>
      <c r="J29" s="673"/>
      <c r="K29" s="673"/>
      <c r="L29" s="673"/>
      <c r="M29" s="673"/>
      <c r="N29" s="673"/>
      <c r="O29" s="673"/>
      <c r="P29" s="673"/>
      <c r="Q29" s="673"/>
      <c r="R29" s="673"/>
      <c r="S29" s="829"/>
      <c r="U29" s="96" t="s">
        <v>87</v>
      </c>
    </row>
    <row r="30" spans="1:21" ht="14.25" x14ac:dyDescent="0.2">
      <c r="A30" s="836">
        <v>0.9</v>
      </c>
      <c r="B30" s="234">
        <v>9</v>
      </c>
      <c r="C30" s="831" t="s">
        <v>90</v>
      </c>
      <c r="D30" s="831" t="s">
        <v>90</v>
      </c>
      <c r="E30" s="831" t="s">
        <v>90</v>
      </c>
      <c r="F30" s="831" t="s">
        <v>90</v>
      </c>
      <c r="G30" s="831" t="s">
        <v>90</v>
      </c>
      <c r="H30" s="831" t="s">
        <v>90</v>
      </c>
      <c r="I30" s="831" t="s">
        <v>90</v>
      </c>
      <c r="J30" s="831" t="s">
        <v>90</v>
      </c>
      <c r="K30" s="831" t="s">
        <v>90</v>
      </c>
      <c r="L30" s="831" t="s">
        <v>90</v>
      </c>
      <c r="M30" s="831" t="s">
        <v>90</v>
      </c>
      <c r="N30" s="831" t="s">
        <v>90</v>
      </c>
      <c r="O30" s="831" t="s">
        <v>90</v>
      </c>
      <c r="P30" s="831" t="s">
        <v>90</v>
      </c>
      <c r="Q30" s="831" t="s">
        <v>90</v>
      </c>
      <c r="R30" s="831" t="s">
        <v>90</v>
      </c>
      <c r="S30" s="831" t="s">
        <v>90</v>
      </c>
      <c r="U30" s="96" t="s">
        <v>87</v>
      </c>
    </row>
    <row r="31" spans="1:21" ht="14.25" x14ac:dyDescent="0.2">
      <c r="A31" s="832">
        <v>0.95</v>
      </c>
      <c r="B31" s="234">
        <v>10</v>
      </c>
      <c r="C31" s="833" t="s">
        <v>90</v>
      </c>
      <c r="D31" s="833" t="s">
        <v>90</v>
      </c>
      <c r="E31" s="833" t="s">
        <v>90</v>
      </c>
      <c r="F31" s="833" t="s">
        <v>90</v>
      </c>
      <c r="G31" s="833" t="s">
        <v>90</v>
      </c>
      <c r="H31" s="833" t="s">
        <v>90</v>
      </c>
      <c r="I31" s="833" t="s">
        <v>90</v>
      </c>
      <c r="J31" s="833" t="s">
        <v>90</v>
      </c>
      <c r="K31" s="833" t="s">
        <v>90</v>
      </c>
      <c r="L31" s="833" t="s">
        <v>90</v>
      </c>
      <c r="M31" s="833" t="s">
        <v>90</v>
      </c>
      <c r="N31" s="833" t="s">
        <v>90</v>
      </c>
      <c r="O31" s="833" t="s">
        <v>90</v>
      </c>
      <c r="P31" s="833" t="s">
        <v>90</v>
      </c>
      <c r="Q31" s="833" t="s">
        <v>90</v>
      </c>
      <c r="R31" s="833" t="s">
        <v>90</v>
      </c>
      <c r="S31" s="833" t="s">
        <v>90</v>
      </c>
      <c r="U31" s="96" t="s">
        <v>87</v>
      </c>
    </row>
    <row r="32" spans="1:21" ht="14.25" x14ac:dyDescent="0.2">
      <c r="A32" s="834">
        <v>0.99</v>
      </c>
      <c r="B32" s="261">
        <v>11</v>
      </c>
      <c r="C32" s="835" t="s">
        <v>90</v>
      </c>
      <c r="D32" s="835" t="s">
        <v>90</v>
      </c>
      <c r="E32" s="835" t="s">
        <v>90</v>
      </c>
      <c r="F32" s="835" t="s">
        <v>90</v>
      </c>
      <c r="G32" s="835" t="s">
        <v>90</v>
      </c>
      <c r="H32" s="835" t="s">
        <v>90</v>
      </c>
      <c r="I32" s="835" t="s">
        <v>90</v>
      </c>
      <c r="J32" s="835" t="s">
        <v>90</v>
      </c>
      <c r="K32" s="835" t="s">
        <v>90</v>
      </c>
      <c r="L32" s="835" t="s">
        <v>90</v>
      </c>
      <c r="M32" s="835" t="s">
        <v>90</v>
      </c>
      <c r="N32" s="835" t="s">
        <v>90</v>
      </c>
      <c r="O32" s="835" t="s">
        <v>90</v>
      </c>
      <c r="P32" s="835" t="s">
        <v>90</v>
      </c>
      <c r="Q32" s="835" t="s">
        <v>90</v>
      </c>
      <c r="R32" s="835" t="s">
        <v>90</v>
      </c>
      <c r="S32" s="835" t="s">
        <v>90</v>
      </c>
      <c r="U32" s="96" t="s">
        <v>87</v>
      </c>
    </row>
    <row r="33" spans="1:21" ht="14.25" x14ac:dyDescent="0.2">
      <c r="U33" s="96" t="s">
        <v>87</v>
      </c>
    </row>
    <row r="34" spans="1:21" ht="18" x14ac:dyDescent="0.25">
      <c r="A34" s="813"/>
      <c r="B34" s="94"/>
      <c r="C34" s="837"/>
      <c r="D34" s="814"/>
      <c r="E34" s="814" t="s">
        <v>986</v>
      </c>
      <c r="F34" s="814"/>
      <c r="G34" s="814"/>
      <c r="H34" s="814"/>
      <c r="I34" s="814"/>
      <c r="J34" s="814"/>
      <c r="K34" s="814"/>
      <c r="L34" s="814"/>
      <c r="M34" s="814"/>
      <c r="N34" s="814"/>
      <c r="O34" s="814"/>
      <c r="P34" s="814"/>
      <c r="Q34" s="814"/>
      <c r="R34" s="814"/>
      <c r="S34" s="815"/>
      <c r="U34" s="96" t="s">
        <v>87</v>
      </c>
    </row>
    <row r="35" spans="1:21" ht="28.5" x14ac:dyDescent="0.25">
      <c r="A35" s="838"/>
      <c r="B35" s="817"/>
      <c r="C35" s="839" t="s">
        <v>966</v>
      </c>
      <c r="D35" s="840" t="s">
        <v>967</v>
      </c>
      <c r="E35" s="841"/>
      <c r="F35" s="841"/>
      <c r="G35" s="841"/>
      <c r="H35" s="841" t="s">
        <v>968</v>
      </c>
      <c r="I35" s="841"/>
      <c r="J35" s="841"/>
      <c r="K35" s="841" t="s">
        <v>969</v>
      </c>
      <c r="L35" s="841"/>
      <c r="M35" s="841"/>
      <c r="N35" s="841"/>
      <c r="O35" s="841"/>
      <c r="P35" s="842" t="s">
        <v>970</v>
      </c>
      <c r="Q35" s="841"/>
      <c r="R35" s="841"/>
      <c r="S35" s="841"/>
      <c r="U35" s="96" t="s">
        <v>87</v>
      </c>
    </row>
    <row r="36" spans="1:21" ht="57" x14ac:dyDescent="0.2">
      <c r="A36" s="821"/>
      <c r="B36" s="822" t="s">
        <v>971</v>
      </c>
      <c r="C36" s="823" t="s">
        <v>972</v>
      </c>
      <c r="D36" s="823" t="s">
        <v>973</v>
      </c>
      <c r="E36" s="825" t="s">
        <v>974</v>
      </c>
      <c r="F36" s="825" t="s">
        <v>723</v>
      </c>
      <c r="G36" s="825" t="s">
        <v>350</v>
      </c>
      <c r="H36" s="823" t="s">
        <v>975</v>
      </c>
      <c r="I36" s="825" t="s">
        <v>976</v>
      </c>
      <c r="J36" s="825" t="s">
        <v>350</v>
      </c>
      <c r="K36" s="823" t="s">
        <v>977</v>
      </c>
      <c r="L36" s="825" t="s">
        <v>978</v>
      </c>
      <c r="M36" s="825" t="s">
        <v>723</v>
      </c>
      <c r="N36" s="825" t="s">
        <v>976</v>
      </c>
      <c r="O36" s="825" t="s">
        <v>350</v>
      </c>
      <c r="P36" s="823" t="s">
        <v>979</v>
      </c>
      <c r="Q36" s="825" t="s">
        <v>980</v>
      </c>
      <c r="R36" s="825" t="s">
        <v>981</v>
      </c>
      <c r="S36" s="825" t="s">
        <v>350</v>
      </c>
      <c r="U36" s="96" t="s">
        <v>87</v>
      </c>
    </row>
    <row r="37" spans="1:21" ht="14.25" x14ac:dyDescent="0.2">
      <c r="A37" s="826"/>
      <c r="B37" s="104">
        <v>75</v>
      </c>
      <c r="C37" s="167">
        <v>1</v>
      </c>
      <c r="D37" s="167">
        <v>2</v>
      </c>
      <c r="E37" s="167">
        <v>3</v>
      </c>
      <c r="F37" s="167">
        <v>4</v>
      </c>
      <c r="G37" s="167">
        <v>5</v>
      </c>
      <c r="H37" s="167">
        <v>6</v>
      </c>
      <c r="I37" s="167">
        <v>7</v>
      </c>
      <c r="J37" s="167">
        <v>8</v>
      </c>
      <c r="K37" s="167">
        <v>9</v>
      </c>
      <c r="L37" s="167">
        <v>10</v>
      </c>
      <c r="M37" s="167">
        <v>11</v>
      </c>
      <c r="N37" s="167">
        <v>12</v>
      </c>
      <c r="O37" s="167">
        <v>13</v>
      </c>
      <c r="P37" s="167">
        <v>14</v>
      </c>
      <c r="Q37" s="167">
        <v>15</v>
      </c>
      <c r="R37" s="167">
        <v>16</v>
      </c>
      <c r="S37" s="214">
        <v>17</v>
      </c>
      <c r="U37" s="96" t="s">
        <v>87</v>
      </c>
    </row>
    <row r="38" spans="1:21" ht="14.25" x14ac:dyDescent="0.2">
      <c r="A38" s="827" t="s">
        <v>982</v>
      </c>
      <c r="B38" s="234">
        <v>1</v>
      </c>
      <c r="C38" s="144" t="s">
        <v>90</v>
      </c>
      <c r="D38" s="144" t="s">
        <v>90</v>
      </c>
      <c r="E38" s="144" t="s">
        <v>90</v>
      </c>
      <c r="F38" s="144" t="s">
        <v>90</v>
      </c>
      <c r="G38" s="144" t="s">
        <v>90</v>
      </c>
      <c r="H38" s="144" t="s">
        <v>90</v>
      </c>
      <c r="I38" s="144" t="s">
        <v>90</v>
      </c>
      <c r="J38" s="144" t="s">
        <v>90</v>
      </c>
      <c r="K38" s="144" t="s">
        <v>90</v>
      </c>
      <c r="L38" s="144" t="s">
        <v>90</v>
      </c>
      <c r="M38" s="144" t="s">
        <v>90</v>
      </c>
      <c r="N38" s="144" t="s">
        <v>90</v>
      </c>
      <c r="O38" s="144" t="s">
        <v>90</v>
      </c>
      <c r="P38" s="144" t="s">
        <v>90</v>
      </c>
      <c r="Q38" s="144" t="s">
        <v>90</v>
      </c>
      <c r="R38" s="144" t="s">
        <v>90</v>
      </c>
      <c r="S38" s="144" t="s">
        <v>90</v>
      </c>
      <c r="U38" s="96" t="s">
        <v>87</v>
      </c>
    </row>
    <row r="39" spans="1:21" ht="25.5" x14ac:dyDescent="0.2">
      <c r="A39" s="828" t="s">
        <v>983</v>
      </c>
      <c r="B39" s="234"/>
      <c r="C39" s="672"/>
      <c r="D39" s="673"/>
      <c r="E39" s="673"/>
      <c r="F39" s="673"/>
      <c r="G39" s="673"/>
      <c r="H39" s="673"/>
      <c r="I39" s="673"/>
      <c r="J39" s="673"/>
      <c r="K39" s="673"/>
      <c r="L39" s="673"/>
      <c r="M39" s="673"/>
      <c r="N39" s="673"/>
      <c r="O39" s="673"/>
      <c r="P39" s="673"/>
      <c r="Q39" s="673"/>
      <c r="R39" s="673"/>
      <c r="S39" s="829"/>
      <c r="U39" s="96" t="s">
        <v>87</v>
      </c>
    </row>
    <row r="40" spans="1:21" ht="14.25" x14ac:dyDescent="0.2">
      <c r="A40" s="830">
        <v>0.9</v>
      </c>
      <c r="B40" s="234">
        <v>2</v>
      </c>
      <c r="C40" s="831" t="s">
        <v>90</v>
      </c>
      <c r="D40" s="831" t="s">
        <v>90</v>
      </c>
      <c r="E40" s="831" t="s">
        <v>90</v>
      </c>
      <c r="F40" s="831" t="s">
        <v>90</v>
      </c>
      <c r="G40" s="831" t="s">
        <v>90</v>
      </c>
      <c r="H40" s="831" t="s">
        <v>90</v>
      </c>
      <c r="I40" s="831" t="s">
        <v>90</v>
      </c>
      <c r="J40" s="831" t="s">
        <v>90</v>
      </c>
      <c r="K40" s="831" t="s">
        <v>90</v>
      </c>
      <c r="L40" s="831" t="s">
        <v>90</v>
      </c>
      <c r="M40" s="831" t="s">
        <v>90</v>
      </c>
      <c r="N40" s="831" t="s">
        <v>90</v>
      </c>
      <c r="O40" s="831" t="s">
        <v>90</v>
      </c>
      <c r="P40" s="831" t="s">
        <v>90</v>
      </c>
      <c r="Q40" s="831" t="s">
        <v>90</v>
      </c>
      <c r="R40" s="831" t="s">
        <v>90</v>
      </c>
      <c r="S40" s="831" t="s">
        <v>90</v>
      </c>
      <c r="U40" s="96" t="s">
        <v>87</v>
      </c>
    </row>
    <row r="41" spans="1:21" ht="14.25" x14ac:dyDescent="0.2">
      <c r="A41" s="832">
        <v>0.99</v>
      </c>
      <c r="B41" s="234">
        <v>3</v>
      </c>
      <c r="C41" s="833" t="s">
        <v>90</v>
      </c>
      <c r="D41" s="833" t="s">
        <v>90</v>
      </c>
      <c r="E41" s="833" t="s">
        <v>90</v>
      </c>
      <c r="F41" s="833" t="s">
        <v>90</v>
      </c>
      <c r="G41" s="833" t="s">
        <v>90</v>
      </c>
      <c r="H41" s="833" t="s">
        <v>90</v>
      </c>
      <c r="I41" s="833" t="s">
        <v>90</v>
      </c>
      <c r="J41" s="833" t="s">
        <v>90</v>
      </c>
      <c r="K41" s="833" t="s">
        <v>90</v>
      </c>
      <c r="L41" s="833" t="s">
        <v>90</v>
      </c>
      <c r="M41" s="833" t="s">
        <v>90</v>
      </c>
      <c r="N41" s="833" t="s">
        <v>90</v>
      </c>
      <c r="O41" s="833" t="s">
        <v>90</v>
      </c>
      <c r="P41" s="833" t="s">
        <v>90</v>
      </c>
      <c r="Q41" s="833" t="s">
        <v>90</v>
      </c>
      <c r="R41" s="833" t="s">
        <v>90</v>
      </c>
      <c r="S41" s="833" t="s">
        <v>90</v>
      </c>
      <c r="U41" s="96" t="s">
        <v>87</v>
      </c>
    </row>
    <row r="42" spans="1:21" ht="14.25" x14ac:dyDescent="0.2">
      <c r="A42" s="832">
        <v>0.995</v>
      </c>
      <c r="B42" s="234">
        <v>4</v>
      </c>
      <c r="C42" s="833" t="s">
        <v>90</v>
      </c>
      <c r="D42" s="833" t="s">
        <v>90</v>
      </c>
      <c r="E42" s="833" t="s">
        <v>90</v>
      </c>
      <c r="F42" s="833" t="s">
        <v>90</v>
      </c>
      <c r="G42" s="833" t="s">
        <v>90</v>
      </c>
      <c r="H42" s="833" t="s">
        <v>90</v>
      </c>
      <c r="I42" s="833" t="s">
        <v>90</v>
      </c>
      <c r="J42" s="833" t="s">
        <v>90</v>
      </c>
      <c r="K42" s="833" t="s">
        <v>90</v>
      </c>
      <c r="L42" s="833" t="s">
        <v>90</v>
      </c>
      <c r="M42" s="833" t="s">
        <v>90</v>
      </c>
      <c r="N42" s="833" t="s">
        <v>90</v>
      </c>
      <c r="O42" s="833" t="s">
        <v>90</v>
      </c>
      <c r="P42" s="833" t="s">
        <v>90</v>
      </c>
      <c r="Q42" s="833" t="s">
        <v>90</v>
      </c>
      <c r="R42" s="833" t="s">
        <v>90</v>
      </c>
      <c r="S42" s="833" t="s">
        <v>90</v>
      </c>
      <c r="U42" s="96" t="s">
        <v>87</v>
      </c>
    </row>
    <row r="43" spans="1:21" ht="14.25" x14ac:dyDescent="0.2">
      <c r="A43" s="832">
        <v>0.996</v>
      </c>
      <c r="B43" s="234">
        <v>5</v>
      </c>
      <c r="C43" s="833" t="s">
        <v>90</v>
      </c>
      <c r="D43" s="833" t="s">
        <v>90</v>
      </c>
      <c r="E43" s="833" t="s">
        <v>90</v>
      </c>
      <c r="F43" s="833" t="s">
        <v>90</v>
      </c>
      <c r="G43" s="833" t="s">
        <v>90</v>
      </c>
      <c r="H43" s="833" t="s">
        <v>90</v>
      </c>
      <c r="I43" s="833" t="s">
        <v>90</v>
      </c>
      <c r="J43" s="833" t="s">
        <v>90</v>
      </c>
      <c r="K43" s="833" t="s">
        <v>90</v>
      </c>
      <c r="L43" s="833" t="s">
        <v>90</v>
      </c>
      <c r="M43" s="833" t="s">
        <v>90</v>
      </c>
      <c r="N43" s="833" t="s">
        <v>90</v>
      </c>
      <c r="O43" s="833" t="s">
        <v>90</v>
      </c>
      <c r="P43" s="833" t="s">
        <v>90</v>
      </c>
      <c r="Q43" s="833" t="s">
        <v>90</v>
      </c>
      <c r="R43" s="833" t="s">
        <v>90</v>
      </c>
      <c r="S43" s="833" t="s">
        <v>90</v>
      </c>
      <c r="U43" s="96" t="s">
        <v>87</v>
      </c>
    </row>
    <row r="44" spans="1:21" ht="14.25" x14ac:dyDescent="0.2">
      <c r="A44" s="832">
        <v>0.998</v>
      </c>
      <c r="B44" s="234">
        <v>6</v>
      </c>
      <c r="C44" s="833" t="s">
        <v>90</v>
      </c>
      <c r="D44" s="833" t="s">
        <v>90</v>
      </c>
      <c r="E44" s="833" t="s">
        <v>90</v>
      </c>
      <c r="F44" s="833" t="s">
        <v>90</v>
      </c>
      <c r="G44" s="833" t="s">
        <v>90</v>
      </c>
      <c r="H44" s="833" t="s">
        <v>90</v>
      </c>
      <c r="I44" s="833" t="s">
        <v>90</v>
      </c>
      <c r="J44" s="833" t="s">
        <v>90</v>
      </c>
      <c r="K44" s="833" t="s">
        <v>90</v>
      </c>
      <c r="L44" s="833" t="s">
        <v>90</v>
      </c>
      <c r="M44" s="833" t="s">
        <v>90</v>
      </c>
      <c r="N44" s="833" t="s">
        <v>90</v>
      </c>
      <c r="O44" s="833" t="s">
        <v>90</v>
      </c>
      <c r="P44" s="833" t="s">
        <v>90</v>
      </c>
      <c r="Q44" s="833" t="s">
        <v>90</v>
      </c>
      <c r="R44" s="833" t="s">
        <v>90</v>
      </c>
      <c r="S44" s="833" t="s">
        <v>90</v>
      </c>
      <c r="U44" s="96" t="s">
        <v>87</v>
      </c>
    </row>
    <row r="45" spans="1:21" ht="14.25" x14ac:dyDescent="0.2">
      <c r="A45" s="832">
        <v>0.999</v>
      </c>
      <c r="B45" s="234">
        <v>7</v>
      </c>
      <c r="C45" s="833" t="s">
        <v>90</v>
      </c>
      <c r="D45" s="833" t="s">
        <v>90</v>
      </c>
      <c r="E45" s="833" t="s">
        <v>90</v>
      </c>
      <c r="F45" s="833" t="s">
        <v>90</v>
      </c>
      <c r="G45" s="833" t="s">
        <v>90</v>
      </c>
      <c r="H45" s="833" t="s">
        <v>90</v>
      </c>
      <c r="I45" s="833" t="s">
        <v>90</v>
      </c>
      <c r="J45" s="833" t="s">
        <v>90</v>
      </c>
      <c r="K45" s="833" t="s">
        <v>90</v>
      </c>
      <c r="L45" s="833" t="s">
        <v>90</v>
      </c>
      <c r="M45" s="833" t="s">
        <v>90</v>
      </c>
      <c r="N45" s="833" t="s">
        <v>90</v>
      </c>
      <c r="O45" s="833" t="s">
        <v>90</v>
      </c>
      <c r="P45" s="833" t="s">
        <v>90</v>
      </c>
      <c r="Q45" s="833" t="s">
        <v>90</v>
      </c>
      <c r="R45" s="833" t="s">
        <v>90</v>
      </c>
      <c r="S45" s="833" t="s">
        <v>90</v>
      </c>
      <c r="U45" s="96" t="s">
        <v>87</v>
      </c>
    </row>
    <row r="46" spans="1:21" ht="14.25" x14ac:dyDescent="0.2">
      <c r="A46" s="834" t="s">
        <v>984</v>
      </c>
      <c r="B46" s="234">
        <v>8</v>
      </c>
      <c r="C46" s="835" t="s">
        <v>90</v>
      </c>
      <c r="D46" s="835" t="s">
        <v>90</v>
      </c>
      <c r="E46" s="835" t="s">
        <v>90</v>
      </c>
      <c r="F46" s="835" t="s">
        <v>90</v>
      </c>
      <c r="G46" s="835" t="s">
        <v>90</v>
      </c>
      <c r="H46" s="835" t="s">
        <v>90</v>
      </c>
      <c r="I46" s="835" t="s">
        <v>90</v>
      </c>
      <c r="J46" s="835" t="s">
        <v>90</v>
      </c>
      <c r="K46" s="835" t="s">
        <v>90</v>
      </c>
      <c r="L46" s="835" t="s">
        <v>90</v>
      </c>
      <c r="M46" s="835" t="s">
        <v>90</v>
      </c>
      <c r="N46" s="835" t="s">
        <v>90</v>
      </c>
      <c r="O46" s="835" t="s">
        <v>90</v>
      </c>
      <c r="P46" s="835" t="s">
        <v>90</v>
      </c>
      <c r="Q46" s="835" t="s">
        <v>90</v>
      </c>
      <c r="R46" s="835" t="s">
        <v>90</v>
      </c>
      <c r="S46" s="835" t="s">
        <v>90</v>
      </c>
      <c r="U46" s="96" t="s">
        <v>87</v>
      </c>
    </row>
    <row r="47" spans="1:21" ht="25.5" x14ac:dyDescent="0.2">
      <c r="A47" s="828" t="s">
        <v>985</v>
      </c>
      <c r="B47" s="234"/>
      <c r="C47" s="672"/>
      <c r="D47" s="673"/>
      <c r="E47" s="673"/>
      <c r="F47" s="673"/>
      <c r="G47" s="673"/>
      <c r="H47" s="673"/>
      <c r="I47" s="673"/>
      <c r="J47" s="673"/>
      <c r="K47" s="673"/>
      <c r="L47" s="673"/>
      <c r="M47" s="673"/>
      <c r="N47" s="673"/>
      <c r="O47" s="673"/>
      <c r="P47" s="673"/>
      <c r="Q47" s="673"/>
      <c r="R47" s="673"/>
      <c r="S47" s="829"/>
      <c r="U47" s="96" t="s">
        <v>87</v>
      </c>
    </row>
    <row r="48" spans="1:21" ht="14.25" x14ac:dyDescent="0.2">
      <c r="A48" s="836">
        <v>0.9</v>
      </c>
      <c r="B48" s="234">
        <v>9</v>
      </c>
      <c r="C48" s="831" t="s">
        <v>90</v>
      </c>
      <c r="D48" s="831" t="s">
        <v>90</v>
      </c>
      <c r="E48" s="831" t="s">
        <v>90</v>
      </c>
      <c r="F48" s="831" t="s">
        <v>90</v>
      </c>
      <c r="G48" s="831" t="s">
        <v>90</v>
      </c>
      <c r="H48" s="831" t="s">
        <v>90</v>
      </c>
      <c r="I48" s="831" t="s">
        <v>90</v>
      </c>
      <c r="J48" s="831" t="s">
        <v>90</v>
      </c>
      <c r="K48" s="831" t="s">
        <v>90</v>
      </c>
      <c r="L48" s="831" t="s">
        <v>90</v>
      </c>
      <c r="M48" s="831" t="s">
        <v>90</v>
      </c>
      <c r="N48" s="831" t="s">
        <v>90</v>
      </c>
      <c r="O48" s="831" t="s">
        <v>90</v>
      </c>
      <c r="P48" s="831" t="s">
        <v>90</v>
      </c>
      <c r="Q48" s="831" t="s">
        <v>90</v>
      </c>
      <c r="R48" s="831" t="s">
        <v>90</v>
      </c>
      <c r="S48" s="831" t="s">
        <v>90</v>
      </c>
      <c r="U48" s="96" t="s">
        <v>87</v>
      </c>
    </row>
    <row r="49" spans="1:21" ht="14.25" x14ac:dyDescent="0.2">
      <c r="A49" s="832">
        <v>0.95</v>
      </c>
      <c r="B49" s="234">
        <v>10</v>
      </c>
      <c r="C49" s="833" t="s">
        <v>90</v>
      </c>
      <c r="D49" s="833" t="s">
        <v>90</v>
      </c>
      <c r="E49" s="833" t="s">
        <v>90</v>
      </c>
      <c r="F49" s="833" t="s">
        <v>90</v>
      </c>
      <c r="G49" s="833" t="s">
        <v>90</v>
      </c>
      <c r="H49" s="833" t="s">
        <v>90</v>
      </c>
      <c r="I49" s="833" t="s">
        <v>90</v>
      </c>
      <c r="J49" s="833" t="s">
        <v>90</v>
      </c>
      <c r="K49" s="833" t="s">
        <v>90</v>
      </c>
      <c r="L49" s="833" t="s">
        <v>90</v>
      </c>
      <c r="M49" s="833" t="s">
        <v>90</v>
      </c>
      <c r="N49" s="833" t="s">
        <v>90</v>
      </c>
      <c r="O49" s="833" t="s">
        <v>90</v>
      </c>
      <c r="P49" s="833" t="s">
        <v>90</v>
      </c>
      <c r="Q49" s="833" t="s">
        <v>90</v>
      </c>
      <c r="R49" s="833" t="s">
        <v>90</v>
      </c>
      <c r="S49" s="833" t="s">
        <v>90</v>
      </c>
      <c r="U49" s="96" t="s">
        <v>87</v>
      </c>
    </row>
    <row r="50" spans="1:21" ht="14.25" x14ac:dyDescent="0.2">
      <c r="A50" s="834">
        <v>0.99</v>
      </c>
      <c r="B50" s="261">
        <v>11</v>
      </c>
      <c r="C50" s="835" t="s">
        <v>90</v>
      </c>
      <c r="D50" s="835" t="s">
        <v>90</v>
      </c>
      <c r="E50" s="835" t="s">
        <v>90</v>
      </c>
      <c r="F50" s="835" t="s">
        <v>90</v>
      </c>
      <c r="G50" s="835" t="s">
        <v>90</v>
      </c>
      <c r="H50" s="835" t="s">
        <v>90</v>
      </c>
      <c r="I50" s="835" t="s">
        <v>90</v>
      </c>
      <c r="J50" s="835" t="s">
        <v>90</v>
      </c>
      <c r="K50" s="835" t="s">
        <v>90</v>
      </c>
      <c r="L50" s="835" t="s">
        <v>90</v>
      </c>
      <c r="M50" s="835" t="s">
        <v>90</v>
      </c>
      <c r="N50" s="835" t="s">
        <v>90</v>
      </c>
      <c r="O50" s="835" t="s">
        <v>90</v>
      </c>
      <c r="P50" s="835" t="s">
        <v>90</v>
      </c>
      <c r="Q50" s="835" t="s">
        <v>90</v>
      </c>
      <c r="R50" s="835" t="s">
        <v>90</v>
      </c>
      <c r="S50" s="835" t="s">
        <v>90</v>
      </c>
      <c r="U50" s="96" t="s">
        <v>87</v>
      </c>
    </row>
    <row r="51" spans="1:21" ht="14.25" x14ac:dyDescent="0.2">
      <c r="U51" s="96" t="s">
        <v>87</v>
      </c>
    </row>
    <row r="52" spans="1:21" ht="114" x14ac:dyDescent="0.2">
      <c r="A52" s="843" t="s">
        <v>987</v>
      </c>
      <c r="B52" s="844"/>
      <c r="C52" s="825" t="s">
        <v>988</v>
      </c>
      <c r="D52" s="825" t="s">
        <v>989</v>
      </c>
      <c r="E52" s="444" t="s">
        <v>990</v>
      </c>
      <c r="F52" s="845" t="s">
        <v>991</v>
      </c>
      <c r="U52" s="96" t="s">
        <v>87</v>
      </c>
    </row>
    <row r="53" spans="1:21" ht="14.25" x14ac:dyDescent="0.2">
      <c r="A53" s="846"/>
      <c r="B53" s="104">
        <v>76</v>
      </c>
      <c r="C53" s="167">
        <v>1</v>
      </c>
      <c r="D53" s="167">
        <v>2</v>
      </c>
      <c r="E53" s="167">
        <v>3</v>
      </c>
      <c r="F53" s="214">
        <v>4</v>
      </c>
      <c r="U53" s="96" t="s">
        <v>87</v>
      </c>
    </row>
    <row r="54" spans="1:21" ht="15" x14ac:dyDescent="0.25">
      <c r="A54" s="847" t="s">
        <v>992</v>
      </c>
      <c r="B54" s="234">
        <v>1</v>
      </c>
      <c r="C54" s="127">
        <f>SUM(C55:C57)</f>
        <v>0</v>
      </c>
      <c r="D54" s="127">
        <f>SUM(D55:D57)</f>
        <v>0</v>
      </c>
      <c r="E54" s="848"/>
      <c r="F54" s="742"/>
      <c r="U54" s="96" t="s">
        <v>87</v>
      </c>
    </row>
    <row r="55" spans="1:21" ht="14.25" customHeight="1" x14ac:dyDescent="0.2">
      <c r="A55" s="849" t="s">
        <v>993</v>
      </c>
      <c r="B55" s="234">
        <v>2</v>
      </c>
      <c r="C55" s="137" t="s">
        <v>90</v>
      </c>
      <c r="D55" s="137" t="s">
        <v>90</v>
      </c>
      <c r="E55" s="289"/>
      <c r="F55" s="111"/>
      <c r="U55" s="96" t="s">
        <v>87</v>
      </c>
    </row>
    <row r="56" spans="1:21" ht="14.25" customHeight="1" x14ac:dyDescent="0.2">
      <c r="A56" s="850" t="s">
        <v>994</v>
      </c>
      <c r="B56" s="234">
        <v>3</v>
      </c>
      <c r="C56" s="137" t="s">
        <v>90</v>
      </c>
      <c r="D56" s="137" t="s">
        <v>90</v>
      </c>
      <c r="E56" s="289"/>
      <c r="F56" s="111"/>
      <c r="U56" s="96" t="s">
        <v>87</v>
      </c>
    </row>
    <row r="57" spans="1:21" ht="14.25" x14ac:dyDescent="0.2">
      <c r="A57" s="851" t="s">
        <v>350</v>
      </c>
      <c r="B57" s="234">
        <v>4</v>
      </c>
      <c r="C57" s="139" t="s">
        <v>90</v>
      </c>
      <c r="D57" s="139" t="s">
        <v>90</v>
      </c>
      <c r="E57" s="293"/>
      <c r="F57" s="151"/>
      <c r="U57" s="96" t="s">
        <v>87</v>
      </c>
    </row>
    <row r="58" spans="1:21" ht="15" x14ac:dyDescent="0.25">
      <c r="A58" s="847" t="s">
        <v>608</v>
      </c>
      <c r="B58" s="234">
        <v>5</v>
      </c>
      <c r="C58" s="127">
        <f>SUM(C59:C64)</f>
        <v>0</v>
      </c>
      <c r="D58" s="127">
        <f>SUM(D59:D64)</f>
        <v>0</v>
      </c>
      <c r="E58" s="848"/>
      <c r="F58" s="742"/>
      <c r="U58" s="96" t="s">
        <v>87</v>
      </c>
    </row>
    <row r="59" spans="1:21" ht="14.25" x14ac:dyDescent="0.2">
      <c r="A59" s="849" t="s">
        <v>721</v>
      </c>
      <c r="B59" s="234">
        <v>6</v>
      </c>
      <c r="C59" s="137" t="s">
        <v>90</v>
      </c>
      <c r="D59" s="137" t="s">
        <v>90</v>
      </c>
      <c r="E59" s="289"/>
      <c r="F59" s="111"/>
      <c r="U59" s="96" t="s">
        <v>87</v>
      </c>
    </row>
    <row r="60" spans="1:21" ht="14.25" x14ac:dyDescent="0.2">
      <c r="A60" s="849" t="s">
        <v>722</v>
      </c>
      <c r="B60" s="234">
        <v>7</v>
      </c>
      <c r="C60" s="137" t="s">
        <v>90</v>
      </c>
      <c r="D60" s="137" t="s">
        <v>90</v>
      </c>
      <c r="E60" s="289"/>
      <c r="F60" s="111"/>
      <c r="U60" s="96" t="s">
        <v>87</v>
      </c>
    </row>
    <row r="61" spans="1:21" ht="14.25" x14ac:dyDescent="0.2">
      <c r="A61" s="849" t="s">
        <v>723</v>
      </c>
      <c r="B61" s="234">
        <v>8</v>
      </c>
      <c r="C61" s="137" t="s">
        <v>90</v>
      </c>
      <c r="D61" s="137" t="s">
        <v>90</v>
      </c>
      <c r="E61" s="289"/>
      <c r="F61" s="111"/>
      <c r="U61" s="96" t="s">
        <v>87</v>
      </c>
    </row>
    <row r="62" spans="1:21" ht="14.25" x14ac:dyDescent="0.2">
      <c r="A62" s="849" t="s">
        <v>724</v>
      </c>
      <c r="B62" s="234">
        <v>9</v>
      </c>
      <c r="C62" s="137" t="s">
        <v>90</v>
      </c>
      <c r="D62" s="137" t="s">
        <v>90</v>
      </c>
      <c r="E62" s="289"/>
      <c r="F62" s="111"/>
      <c r="U62" s="96" t="s">
        <v>87</v>
      </c>
    </row>
    <row r="63" spans="1:21" ht="14.25" x14ac:dyDescent="0.2">
      <c r="A63" s="849" t="s">
        <v>725</v>
      </c>
      <c r="B63" s="234">
        <v>10</v>
      </c>
      <c r="C63" s="137" t="s">
        <v>90</v>
      </c>
      <c r="D63" s="137" t="s">
        <v>90</v>
      </c>
      <c r="E63" s="289"/>
      <c r="F63" s="111"/>
      <c r="U63" s="96" t="s">
        <v>87</v>
      </c>
    </row>
    <row r="64" spans="1:21" ht="14.25" x14ac:dyDescent="0.2">
      <c r="A64" s="851" t="s">
        <v>726</v>
      </c>
      <c r="B64" s="234">
        <v>11</v>
      </c>
      <c r="C64" s="139" t="s">
        <v>90</v>
      </c>
      <c r="D64" s="139" t="s">
        <v>90</v>
      </c>
      <c r="E64" s="293"/>
      <c r="F64" s="151"/>
      <c r="U64" s="96" t="s">
        <v>87</v>
      </c>
    </row>
    <row r="65" spans="1:21" ht="15" x14ac:dyDescent="0.25">
      <c r="A65" s="847" t="s">
        <v>962</v>
      </c>
      <c r="B65" s="234">
        <v>12</v>
      </c>
      <c r="C65" s="127">
        <f>SUM(C66:C71)</f>
        <v>0</v>
      </c>
      <c r="D65" s="127">
        <f>SUM(D66:D71)</f>
        <v>0</v>
      </c>
      <c r="E65" s="137" t="s">
        <v>90</v>
      </c>
      <c r="F65" s="852">
        <f>SUM(D65:E65)</f>
        <v>0</v>
      </c>
      <c r="U65" s="96" t="s">
        <v>87</v>
      </c>
    </row>
    <row r="66" spans="1:21" ht="14.25" x14ac:dyDescent="0.2">
      <c r="A66" s="849" t="s">
        <v>721</v>
      </c>
      <c r="B66" s="234">
        <v>13</v>
      </c>
      <c r="C66" s="137" t="s">
        <v>90</v>
      </c>
      <c r="D66" s="137" t="s">
        <v>90</v>
      </c>
      <c r="E66" s="289"/>
      <c r="F66" s="111"/>
      <c r="U66" s="96" t="s">
        <v>87</v>
      </c>
    </row>
    <row r="67" spans="1:21" ht="14.25" x14ac:dyDescent="0.2">
      <c r="A67" s="849" t="s">
        <v>722</v>
      </c>
      <c r="B67" s="234">
        <v>14</v>
      </c>
      <c r="C67" s="137" t="s">
        <v>90</v>
      </c>
      <c r="D67" s="137" t="s">
        <v>90</v>
      </c>
      <c r="E67" s="289"/>
      <c r="F67" s="111"/>
      <c r="U67" s="96" t="s">
        <v>87</v>
      </c>
    </row>
    <row r="68" spans="1:21" ht="14.25" x14ac:dyDescent="0.2">
      <c r="A68" s="849" t="s">
        <v>723</v>
      </c>
      <c r="B68" s="234">
        <v>15</v>
      </c>
      <c r="C68" s="137" t="s">
        <v>90</v>
      </c>
      <c r="D68" s="137" t="s">
        <v>90</v>
      </c>
      <c r="E68" s="289"/>
      <c r="F68" s="111"/>
      <c r="U68" s="96" t="s">
        <v>87</v>
      </c>
    </row>
    <row r="69" spans="1:21" ht="14.25" x14ac:dyDescent="0.2">
      <c r="A69" s="849" t="s">
        <v>724</v>
      </c>
      <c r="B69" s="234">
        <v>16</v>
      </c>
      <c r="C69" s="137" t="s">
        <v>90</v>
      </c>
      <c r="D69" s="137" t="s">
        <v>90</v>
      </c>
      <c r="E69" s="289"/>
      <c r="F69" s="111"/>
      <c r="U69" s="96" t="s">
        <v>87</v>
      </c>
    </row>
    <row r="70" spans="1:21" ht="14.25" x14ac:dyDescent="0.2">
      <c r="A70" s="849" t="s">
        <v>725</v>
      </c>
      <c r="B70" s="234">
        <v>17</v>
      </c>
      <c r="C70" s="137" t="s">
        <v>90</v>
      </c>
      <c r="D70" s="137" t="s">
        <v>90</v>
      </c>
      <c r="E70" s="289"/>
      <c r="F70" s="111"/>
      <c r="U70" s="96" t="s">
        <v>87</v>
      </c>
    </row>
    <row r="71" spans="1:21" ht="14.25" x14ac:dyDescent="0.2">
      <c r="A71" s="851" t="s">
        <v>726</v>
      </c>
      <c r="B71" s="234">
        <v>18</v>
      </c>
      <c r="C71" s="139" t="s">
        <v>90</v>
      </c>
      <c r="D71" s="139" t="s">
        <v>90</v>
      </c>
      <c r="E71" s="293"/>
      <c r="F71" s="151"/>
      <c r="U71" s="96" t="s">
        <v>87</v>
      </c>
    </row>
    <row r="72" spans="1:21" ht="15" x14ac:dyDescent="0.25">
      <c r="A72" s="847" t="s">
        <v>785</v>
      </c>
      <c r="B72" s="234">
        <v>19</v>
      </c>
      <c r="C72" s="127">
        <f>SUM(C73:C75)</f>
        <v>0</v>
      </c>
      <c r="D72" s="127">
        <f>SUM(D73:D75)</f>
        <v>0</v>
      </c>
      <c r="E72" s="848"/>
      <c r="F72" s="742"/>
      <c r="U72" s="96" t="s">
        <v>87</v>
      </c>
    </row>
    <row r="73" spans="1:21" ht="14.25" x14ac:dyDescent="0.2">
      <c r="A73" s="849" t="s">
        <v>193</v>
      </c>
      <c r="B73" s="234">
        <v>20</v>
      </c>
      <c r="C73" s="137" t="s">
        <v>90</v>
      </c>
      <c r="D73" s="137" t="s">
        <v>90</v>
      </c>
      <c r="E73" s="289"/>
      <c r="F73" s="111"/>
      <c r="U73" s="96" t="s">
        <v>87</v>
      </c>
    </row>
    <row r="74" spans="1:21" ht="14.25" x14ac:dyDescent="0.2">
      <c r="A74" s="849" t="s">
        <v>608</v>
      </c>
      <c r="B74" s="234">
        <v>21</v>
      </c>
      <c r="C74" s="137" t="s">
        <v>90</v>
      </c>
      <c r="D74" s="137" t="s">
        <v>90</v>
      </c>
      <c r="E74" s="289"/>
      <c r="F74" s="111"/>
      <c r="U74" s="96" t="s">
        <v>87</v>
      </c>
    </row>
    <row r="75" spans="1:21" ht="14.25" x14ac:dyDescent="0.2">
      <c r="A75" s="851" t="s">
        <v>995</v>
      </c>
      <c r="B75" s="234">
        <v>22</v>
      </c>
      <c r="C75" s="139" t="s">
        <v>90</v>
      </c>
      <c r="D75" s="139" t="s">
        <v>90</v>
      </c>
      <c r="E75" s="293"/>
      <c r="F75" s="151"/>
      <c r="U75" s="96" t="s">
        <v>87</v>
      </c>
    </row>
    <row r="76" spans="1:21" ht="15" x14ac:dyDescent="0.25">
      <c r="A76" s="847" t="s">
        <v>813</v>
      </c>
      <c r="B76" s="234">
        <v>23</v>
      </c>
      <c r="C76" s="127">
        <f>SUM(C77:C78)</f>
        <v>0</v>
      </c>
      <c r="D76" s="127">
        <f>SUM(D77:D78)</f>
        <v>0</v>
      </c>
      <c r="E76" s="848"/>
      <c r="F76" s="742"/>
      <c r="U76" s="96" t="s">
        <v>87</v>
      </c>
    </row>
    <row r="77" spans="1:21" ht="14.25" x14ac:dyDescent="0.2">
      <c r="A77" s="849" t="s">
        <v>808</v>
      </c>
      <c r="B77" s="234">
        <v>24</v>
      </c>
      <c r="C77" s="137" t="s">
        <v>90</v>
      </c>
      <c r="D77" s="137" t="s">
        <v>90</v>
      </c>
      <c r="E77" s="289"/>
      <c r="F77" s="111"/>
      <c r="U77" s="96" t="s">
        <v>87</v>
      </c>
    </row>
    <row r="78" spans="1:21" ht="14.25" x14ac:dyDescent="0.2">
      <c r="A78" s="851" t="s">
        <v>608</v>
      </c>
      <c r="B78" s="234">
        <v>25</v>
      </c>
      <c r="C78" s="139" t="s">
        <v>90</v>
      </c>
      <c r="D78" s="139" t="s">
        <v>90</v>
      </c>
      <c r="E78" s="293"/>
      <c r="F78" s="151"/>
      <c r="U78" s="96" t="s">
        <v>87</v>
      </c>
    </row>
    <row r="79" spans="1:21" ht="15" x14ac:dyDescent="0.25">
      <c r="A79" s="847" t="s">
        <v>963</v>
      </c>
      <c r="B79" s="234">
        <v>26</v>
      </c>
      <c r="C79" s="127">
        <f>SUM(C80:C82)</f>
        <v>0</v>
      </c>
      <c r="D79" s="127">
        <f>SUM(D80:D82)</f>
        <v>0</v>
      </c>
      <c r="E79" s="848"/>
      <c r="F79" s="742"/>
      <c r="U79" s="96" t="s">
        <v>87</v>
      </c>
    </row>
    <row r="80" spans="1:21" ht="14.25" x14ac:dyDescent="0.2">
      <c r="A80" s="849" t="s">
        <v>204</v>
      </c>
      <c r="B80" s="234">
        <v>27</v>
      </c>
      <c r="C80" s="137" t="s">
        <v>90</v>
      </c>
      <c r="D80" s="137" t="s">
        <v>90</v>
      </c>
      <c r="E80" s="289"/>
      <c r="F80" s="111"/>
      <c r="U80" s="96" t="s">
        <v>87</v>
      </c>
    </row>
    <row r="81" spans="1:21" ht="14.25" x14ac:dyDescent="0.2">
      <c r="A81" s="849" t="s">
        <v>996</v>
      </c>
      <c r="B81" s="234">
        <v>28</v>
      </c>
      <c r="C81" s="137" t="s">
        <v>90</v>
      </c>
      <c r="D81" s="137" t="s">
        <v>90</v>
      </c>
      <c r="E81" s="289"/>
      <c r="F81" s="111"/>
      <c r="U81" s="96" t="s">
        <v>87</v>
      </c>
    </row>
    <row r="82" spans="1:21" ht="14.25" x14ac:dyDescent="0.2">
      <c r="A82" s="851" t="s">
        <v>783</v>
      </c>
      <c r="B82" s="261">
        <v>29</v>
      </c>
      <c r="C82" s="139" t="s">
        <v>90</v>
      </c>
      <c r="D82" s="139" t="s">
        <v>90</v>
      </c>
      <c r="E82" s="293"/>
      <c r="F82" s="151"/>
      <c r="U82" s="96" t="s">
        <v>87</v>
      </c>
    </row>
    <row r="83" spans="1:21" ht="14.25" x14ac:dyDescent="0.2">
      <c r="U83" s="96" t="s">
        <v>87</v>
      </c>
    </row>
    <row r="84" spans="1:21" ht="14.25" x14ac:dyDescent="0.2">
      <c r="A84" s="96" t="s">
        <v>87</v>
      </c>
      <c r="B84" s="96" t="s">
        <v>87</v>
      </c>
      <c r="C84" s="96" t="s">
        <v>87</v>
      </c>
      <c r="D84" s="96" t="s">
        <v>87</v>
      </c>
      <c r="E84" s="96" t="s">
        <v>87</v>
      </c>
      <c r="F84" s="96" t="s">
        <v>87</v>
      </c>
      <c r="G84" s="96" t="s">
        <v>87</v>
      </c>
      <c r="H84" s="96" t="s">
        <v>87</v>
      </c>
      <c r="I84" s="96" t="s">
        <v>87</v>
      </c>
      <c r="J84" s="96" t="s">
        <v>87</v>
      </c>
      <c r="K84" s="96" t="s">
        <v>87</v>
      </c>
      <c r="L84" s="96" t="s">
        <v>87</v>
      </c>
      <c r="M84" s="96" t="s">
        <v>87</v>
      </c>
      <c r="N84" s="96" t="s">
        <v>87</v>
      </c>
      <c r="O84" s="96" t="s">
        <v>87</v>
      </c>
      <c r="P84" s="96" t="s">
        <v>87</v>
      </c>
      <c r="Q84" s="96" t="s">
        <v>87</v>
      </c>
      <c r="R84" s="96" t="s">
        <v>87</v>
      </c>
      <c r="S84" s="96" t="s">
        <v>87</v>
      </c>
      <c r="T84" s="96" t="s">
        <v>87</v>
      </c>
      <c r="U84" s="96" t="s">
        <v>87</v>
      </c>
    </row>
  </sheetData>
  <pageMargins left="0.25" right="0.25" top="0.75" bottom="0.75" header="0.3" footer="0.3"/>
  <pageSetup paperSize="9"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sheetPr>
  <dimension ref="A1:Z361"/>
  <sheetViews>
    <sheetView showGridLines="0" topLeftCell="A4" zoomScaleNormal="100" workbookViewId="0">
      <selection activeCell="A4" sqref="A4"/>
    </sheetView>
  </sheetViews>
  <sheetFormatPr defaultRowHeight="12.75" x14ac:dyDescent="0.2"/>
  <cols>
    <col min="1" max="1" width="30.7109375" customWidth="1"/>
    <col min="2" max="2" width="3.28515625" customWidth="1"/>
    <col min="3" max="3" width="9.42578125" customWidth="1"/>
    <col min="4" max="11" width="8.7109375" customWidth="1"/>
    <col min="12" max="14" width="5.7109375" customWidth="1"/>
    <col min="15" max="15" width="0.85546875" customWidth="1"/>
    <col min="16" max="16" width="2" customWidth="1"/>
    <col min="17" max="17" width="3.85546875" customWidth="1"/>
    <col min="18" max="18" width="17.28515625" customWidth="1"/>
    <col min="19" max="19" width="2.42578125" customWidth="1"/>
    <col min="20" max="24" width="8.7109375" customWidth="1"/>
    <col min="25" max="25" width="2.28515625" customWidth="1"/>
    <col min="26" max="26" width="2" customWidth="1"/>
  </cols>
  <sheetData>
    <row r="1" spans="1:26" x14ac:dyDescent="0.2">
      <c r="A1" s="93" t="str">
        <f>FT15.Participant!$A$1</f>
        <v>&lt;IAIG's Name&gt;</v>
      </c>
      <c r="B1" s="94"/>
      <c r="C1" s="94"/>
      <c r="D1" s="94"/>
      <c r="E1" s="94"/>
      <c r="F1" s="94"/>
      <c r="G1" s="94"/>
      <c r="H1" s="94"/>
      <c r="I1" s="94"/>
      <c r="J1" s="94"/>
      <c r="K1" s="94"/>
      <c r="L1" s="94"/>
      <c r="M1" s="94"/>
      <c r="N1" s="95" t="str">
        <f ca="1">HYPERLINK("#"&amp;CELL("address",FT15.IndexSheet),Version)</f>
        <v>2015 IAIS Field Testing Template</v>
      </c>
      <c r="P1" s="699" t="s">
        <v>87</v>
      </c>
      <c r="Z1" s="699" t="s">
        <v>87</v>
      </c>
    </row>
    <row r="2" spans="1:26" ht="15" x14ac:dyDescent="0.25">
      <c r="A2" s="97" t="str">
        <f>FT15.Participant!$A$2</f>
        <v>&lt;Currency&gt; - (&lt;Unit&gt;)</v>
      </c>
      <c r="B2" s="98" t="s">
        <v>997</v>
      </c>
      <c r="C2" s="99"/>
      <c r="D2" s="99"/>
      <c r="E2" s="99"/>
      <c r="F2" s="99"/>
      <c r="G2" s="99"/>
      <c r="H2" s="99"/>
      <c r="I2" s="99"/>
      <c r="J2" s="99"/>
      <c r="K2" s="99"/>
      <c r="L2" s="99"/>
      <c r="M2" s="99"/>
      <c r="N2" s="100" t="str">
        <f>FT15.Participant!$E$2</f>
        <v xml:space="preserve">&lt;Reporting Date&gt; - </v>
      </c>
      <c r="P2" s="699" t="s">
        <v>87</v>
      </c>
      <c r="Z2" s="699" t="s">
        <v>87</v>
      </c>
    </row>
    <row r="3" spans="1:26" x14ac:dyDescent="0.2">
      <c r="P3" s="699" t="s">
        <v>87</v>
      </c>
      <c r="Z3" s="699" t="s">
        <v>87</v>
      </c>
    </row>
    <row r="4" spans="1:26" ht="14.25" x14ac:dyDescent="0.2">
      <c r="A4" s="853" t="s">
        <v>998</v>
      </c>
      <c r="B4" s="708"/>
      <c r="C4" s="707"/>
      <c r="D4" s="94"/>
      <c r="E4" s="94"/>
      <c r="F4" s="101"/>
      <c r="G4" s="101"/>
      <c r="H4" s="1425" t="s">
        <v>999</v>
      </c>
      <c r="P4" s="699" t="s">
        <v>87</v>
      </c>
      <c r="Z4" s="699" t="s">
        <v>87</v>
      </c>
    </row>
    <row r="5" spans="1:26" ht="36" x14ac:dyDescent="0.2">
      <c r="A5" s="854" t="s">
        <v>1000</v>
      </c>
      <c r="B5" s="709"/>
      <c r="C5" s="655" t="s">
        <v>1001</v>
      </c>
      <c r="D5" s="655" t="s">
        <v>1002</v>
      </c>
      <c r="E5" s="655" t="s">
        <v>1003</v>
      </c>
      <c r="F5" s="655" t="s">
        <v>1004</v>
      </c>
      <c r="G5" s="655" t="s">
        <v>1005</v>
      </c>
      <c r="H5" s="1467"/>
      <c r="P5" s="699" t="s">
        <v>87</v>
      </c>
      <c r="Z5" s="699" t="s">
        <v>87</v>
      </c>
    </row>
    <row r="6" spans="1:26" ht="14.25" x14ac:dyDescent="0.2">
      <c r="A6" s="720"/>
      <c r="B6" s="855" t="s">
        <v>695</v>
      </c>
      <c r="C6" s="856" t="str">
        <f ca="1">HYPERLINK("#"&amp;CELL("address",$A$29),"+")</f>
        <v>+</v>
      </c>
      <c r="D6" s="856" t="str">
        <f ca="1">HYPERLINK("#"&amp;CELL("address",$A$40),"+")</f>
        <v>+</v>
      </c>
      <c r="E6" s="856" t="str">
        <f ca="1">HYPERLINK("#"&amp;CELL("address",$A$50),"+")</f>
        <v>+</v>
      </c>
      <c r="F6" s="856" t="str">
        <f ca="1">HYPERLINK("#"&amp;CELL("address",$A$313),"+")</f>
        <v>+</v>
      </c>
      <c r="G6" s="856" t="str">
        <f ca="1">HYPERLINK("#"&amp;CELL("address",$A$351),"+")</f>
        <v>+</v>
      </c>
      <c r="H6" s="103"/>
      <c r="P6" s="699" t="s">
        <v>87</v>
      </c>
      <c r="R6" s="857" t="s">
        <v>1006</v>
      </c>
      <c r="S6" s="714" t="s">
        <v>1007</v>
      </c>
      <c r="T6" s="714"/>
      <c r="U6" s="715"/>
      <c r="V6" s="715"/>
      <c r="W6" s="715"/>
      <c r="X6" s="718"/>
      <c r="Z6" s="699" t="s">
        <v>87</v>
      </c>
    </row>
    <row r="7" spans="1:26" ht="14.25" x14ac:dyDescent="0.2">
      <c r="A7" s="720"/>
      <c r="B7" s="124">
        <v>77</v>
      </c>
      <c r="C7" s="167">
        <v>1</v>
      </c>
      <c r="D7" s="167">
        <v>2</v>
      </c>
      <c r="E7" s="167">
        <v>3</v>
      </c>
      <c r="F7" s="167">
        <v>4</v>
      </c>
      <c r="G7" s="167">
        <v>5</v>
      </c>
      <c r="H7" s="214">
        <v>6</v>
      </c>
      <c r="P7" s="699" t="s">
        <v>87</v>
      </c>
      <c r="R7" s="858" t="s">
        <v>1008</v>
      </c>
      <c r="S7" s="326" t="s">
        <v>90</v>
      </c>
      <c r="T7" s="724" t="s">
        <v>1009</v>
      </c>
      <c r="U7" s="725" t="s">
        <v>1010</v>
      </c>
      <c r="V7" s="725" t="s">
        <v>1011</v>
      </c>
      <c r="W7" s="725" t="s">
        <v>1012</v>
      </c>
      <c r="X7" s="726" t="s">
        <v>1013</v>
      </c>
      <c r="Z7" s="699" t="s">
        <v>87</v>
      </c>
    </row>
    <row r="8" spans="1:26" x14ac:dyDescent="0.2">
      <c r="A8" s="93" t="s">
        <v>728</v>
      </c>
      <c r="B8" s="745">
        <v>1</v>
      </c>
      <c r="C8" s="565">
        <f>SUM(F31)</f>
        <v>0</v>
      </c>
      <c r="D8" s="565">
        <f>SUM(F42)</f>
        <v>0</v>
      </c>
      <c r="E8" s="565">
        <f t="shared" ref="E8:E14" si="0">H52</f>
        <v>0</v>
      </c>
      <c r="F8" s="565">
        <f>SUM(F315)</f>
        <v>0</v>
      </c>
      <c r="G8" s="565">
        <f>SUM(G353)</f>
        <v>0</v>
      </c>
      <c r="H8" s="219">
        <f>SQRT(SUMPRODUCT(MMULT(-C8:G8,--ICS.Life.Corr),-C8:G8))</f>
        <v>0</v>
      </c>
      <c r="P8" s="699" t="s">
        <v>87</v>
      </c>
      <c r="R8" s="666" t="s">
        <v>1014</v>
      </c>
      <c r="S8" s="675"/>
      <c r="T8" s="859">
        <v>1</v>
      </c>
      <c r="U8" s="859">
        <v>2</v>
      </c>
      <c r="V8" s="859">
        <v>3</v>
      </c>
      <c r="W8" s="859">
        <v>4</v>
      </c>
      <c r="X8" s="860">
        <v>5</v>
      </c>
      <c r="Z8" s="699" t="s">
        <v>87</v>
      </c>
    </row>
    <row r="9" spans="1:26" ht="14.25" x14ac:dyDescent="0.2">
      <c r="A9" s="738" t="s">
        <v>721</v>
      </c>
      <c r="B9" s="745">
        <v>2</v>
      </c>
      <c r="C9" s="282" t="str">
        <f t="shared" ref="C9:C14" si="1">F32</f>
        <v>-</v>
      </c>
      <c r="D9" s="282" t="str">
        <f t="shared" ref="D9:D14" si="2">F43</f>
        <v>-</v>
      </c>
      <c r="E9" s="282">
        <f t="shared" si="0"/>
        <v>0</v>
      </c>
      <c r="F9" s="282">
        <f t="shared" ref="F9:F14" si="3">F316</f>
        <v>0</v>
      </c>
      <c r="G9" s="282" t="str">
        <f t="shared" ref="G9:G14" si="4">G354</f>
        <v>-</v>
      </c>
      <c r="H9" s="111"/>
      <c r="P9" s="699" t="s">
        <v>87</v>
      </c>
      <c r="R9" s="861" t="s">
        <v>1009</v>
      </c>
      <c r="S9" s="681">
        <v>1</v>
      </c>
      <c r="T9" s="682">
        <v>1</v>
      </c>
      <c r="U9" s="683">
        <v>-0.25</v>
      </c>
      <c r="V9" s="683">
        <v>0.25</v>
      </c>
      <c r="W9" s="683">
        <v>0</v>
      </c>
      <c r="X9" s="684">
        <v>0.25</v>
      </c>
      <c r="Z9" s="699" t="s">
        <v>87</v>
      </c>
    </row>
    <row r="10" spans="1:26" ht="14.25" x14ac:dyDescent="0.2">
      <c r="A10" s="738" t="s">
        <v>722</v>
      </c>
      <c r="B10" s="745">
        <v>3</v>
      </c>
      <c r="C10" s="285" t="str">
        <f t="shared" si="1"/>
        <v>-</v>
      </c>
      <c r="D10" s="285" t="str">
        <f t="shared" si="2"/>
        <v>-</v>
      </c>
      <c r="E10" s="285">
        <f t="shared" si="0"/>
        <v>0</v>
      </c>
      <c r="F10" s="285">
        <f t="shared" si="3"/>
        <v>0</v>
      </c>
      <c r="G10" s="285" t="str">
        <f t="shared" si="4"/>
        <v>-</v>
      </c>
      <c r="H10" s="111"/>
      <c r="P10" s="699" t="s">
        <v>87</v>
      </c>
      <c r="R10" s="861" t="s">
        <v>1010</v>
      </c>
      <c r="S10" s="681">
        <v>2</v>
      </c>
      <c r="T10" s="686">
        <f>INDEX(T9:X13,T$8,$S10)</f>
        <v>-0.25</v>
      </c>
      <c r="U10" s="687">
        <v>1</v>
      </c>
      <c r="V10" s="688">
        <v>0</v>
      </c>
      <c r="W10" s="688">
        <v>0.25</v>
      </c>
      <c r="X10" s="689">
        <v>0.25</v>
      </c>
      <c r="Z10" s="699" t="s">
        <v>87</v>
      </c>
    </row>
    <row r="11" spans="1:26" ht="14.25" x14ac:dyDescent="0.2">
      <c r="A11" s="738" t="s">
        <v>723</v>
      </c>
      <c r="B11" s="745">
        <v>4</v>
      </c>
      <c r="C11" s="285" t="str">
        <f t="shared" si="1"/>
        <v>-</v>
      </c>
      <c r="D11" s="285" t="str">
        <f t="shared" si="2"/>
        <v>-</v>
      </c>
      <c r="E11" s="285">
        <f t="shared" si="0"/>
        <v>0</v>
      </c>
      <c r="F11" s="285">
        <f t="shared" si="3"/>
        <v>0</v>
      </c>
      <c r="G11" s="285" t="str">
        <f t="shared" si="4"/>
        <v>-</v>
      </c>
      <c r="H11" s="111"/>
      <c r="P11" s="699" t="s">
        <v>87</v>
      </c>
      <c r="R11" s="861" t="s">
        <v>1011</v>
      </c>
      <c r="S11" s="681">
        <v>3</v>
      </c>
      <c r="T11" s="686">
        <f>INDEX(T9:X13,T$8,$S11)</f>
        <v>0.25</v>
      </c>
      <c r="U11" s="687">
        <f>INDEX(T9:X13,U$8,$S11)</f>
        <v>0</v>
      </c>
      <c r="V11" s="687">
        <v>1</v>
      </c>
      <c r="W11" s="688">
        <v>0</v>
      </c>
      <c r="X11" s="689">
        <v>0.5</v>
      </c>
      <c r="Z11" s="699" t="s">
        <v>87</v>
      </c>
    </row>
    <row r="12" spans="1:26" ht="14.25" x14ac:dyDescent="0.2">
      <c r="A12" s="738" t="s">
        <v>724</v>
      </c>
      <c r="B12" s="745">
        <v>5</v>
      </c>
      <c r="C12" s="285" t="str">
        <f t="shared" si="1"/>
        <v>-</v>
      </c>
      <c r="D12" s="285" t="str">
        <f t="shared" si="2"/>
        <v>-</v>
      </c>
      <c r="E12" s="285">
        <f t="shared" si="0"/>
        <v>0</v>
      </c>
      <c r="F12" s="285">
        <f t="shared" si="3"/>
        <v>0</v>
      </c>
      <c r="G12" s="285" t="str">
        <f t="shared" si="4"/>
        <v>-</v>
      </c>
      <c r="H12" s="111"/>
      <c r="P12" s="699" t="s">
        <v>87</v>
      </c>
      <c r="R12" s="862" t="s">
        <v>1012</v>
      </c>
      <c r="S12" s="681">
        <v>4</v>
      </c>
      <c r="T12" s="686">
        <f>INDEX(T9:X13,T$8,$S12)</f>
        <v>0</v>
      </c>
      <c r="U12" s="687">
        <f>INDEX(T9:X13,U$8,$S12)</f>
        <v>0.25</v>
      </c>
      <c r="V12" s="687">
        <f>INDEX(T9:X13,V$8,$S12)</f>
        <v>0</v>
      </c>
      <c r="W12" s="687">
        <v>1</v>
      </c>
      <c r="X12" s="689">
        <v>0.5</v>
      </c>
      <c r="Z12" s="699" t="s">
        <v>87</v>
      </c>
    </row>
    <row r="13" spans="1:26" ht="14.25" x14ac:dyDescent="0.2">
      <c r="A13" s="738" t="s">
        <v>725</v>
      </c>
      <c r="B13" s="745">
        <v>6</v>
      </c>
      <c r="C13" s="285" t="str">
        <f t="shared" si="1"/>
        <v>-</v>
      </c>
      <c r="D13" s="285" t="str">
        <f t="shared" si="2"/>
        <v>-</v>
      </c>
      <c r="E13" s="285">
        <f t="shared" si="0"/>
        <v>0</v>
      </c>
      <c r="F13" s="285">
        <f t="shared" si="3"/>
        <v>0</v>
      </c>
      <c r="G13" s="285" t="str">
        <f t="shared" si="4"/>
        <v>-</v>
      </c>
      <c r="H13" s="111"/>
      <c r="P13" s="699" t="s">
        <v>87</v>
      </c>
      <c r="R13" s="863" t="s">
        <v>1013</v>
      </c>
      <c r="S13" s="693">
        <v>5</v>
      </c>
      <c r="T13" s="694">
        <f>INDEX(T9:X13,T$8,$S13)</f>
        <v>0.25</v>
      </c>
      <c r="U13" s="695">
        <f>INDEX(T9:X13,U$8,$S13)</f>
        <v>0.25</v>
      </c>
      <c r="V13" s="695">
        <f>INDEX(T9:X13,V$8,$S13)</f>
        <v>0.5</v>
      </c>
      <c r="W13" s="695">
        <f>INDEX(T9:X13,W$8,$S13)</f>
        <v>0.5</v>
      </c>
      <c r="X13" s="696">
        <v>1</v>
      </c>
      <c r="Z13" s="699" t="s">
        <v>87</v>
      </c>
    </row>
    <row r="14" spans="1:26" ht="14.25" x14ac:dyDescent="0.2">
      <c r="A14" s="755" t="s">
        <v>726</v>
      </c>
      <c r="B14" s="753">
        <v>7</v>
      </c>
      <c r="C14" s="153" t="str">
        <f t="shared" si="1"/>
        <v>-</v>
      </c>
      <c r="D14" s="153" t="str">
        <f t="shared" si="2"/>
        <v>-</v>
      </c>
      <c r="E14" s="153">
        <f t="shared" si="0"/>
        <v>0</v>
      </c>
      <c r="F14" s="153">
        <f t="shared" si="3"/>
        <v>0</v>
      </c>
      <c r="G14" s="153" t="str">
        <f t="shared" si="4"/>
        <v>-</v>
      </c>
      <c r="H14" s="151"/>
      <c r="P14" s="699" t="s">
        <v>87</v>
      </c>
      <c r="Z14" s="699" t="s">
        <v>87</v>
      </c>
    </row>
    <row r="15" spans="1:26" x14ac:dyDescent="0.2">
      <c r="P15" s="699" t="s">
        <v>87</v>
      </c>
      <c r="Z15" s="699" t="s">
        <v>87</v>
      </c>
    </row>
    <row r="16" spans="1:26" ht="14.25" x14ac:dyDescent="0.2">
      <c r="A16" s="853" t="s">
        <v>998</v>
      </c>
      <c r="B16" s="708"/>
      <c r="C16" s="707"/>
      <c r="D16" s="94"/>
      <c r="E16" s="94"/>
      <c r="F16" s="101"/>
      <c r="G16" s="101"/>
      <c r="H16" s="1425" t="s">
        <v>999</v>
      </c>
      <c r="P16" s="699" t="s">
        <v>87</v>
      </c>
      <c r="Z16" s="699" t="s">
        <v>87</v>
      </c>
    </row>
    <row r="17" spans="1:26" ht="36" x14ac:dyDescent="0.2">
      <c r="A17" s="854" t="s">
        <v>1015</v>
      </c>
      <c r="B17" s="709"/>
      <c r="C17" s="655" t="s">
        <v>1001</v>
      </c>
      <c r="D17" s="655" t="s">
        <v>1002</v>
      </c>
      <c r="E17" s="655" t="s">
        <v>1003</v>
      </c>
      <c r="F17" s="655" t="s">
        <v>1004</v>
      </c>
      <c r="G17" s="655" t="s">
        <v>1005</v>
      </c>
      <c r="H17" s="1467"/>
      <c r="P17" s="699" t="s">
        <v>87</v>
      </c>
      <c r="Z17" s="699" t="s">
        <v>87</v>
      </c>
    </row>
    <row r="18" spans="1:26" ht="14.25" x14ac:dyDescent="0.2">
      <c r="A18" s="854"/>
      <c r="B18" s="855" t="s">
        <v>695</v>
      </c>
      <c r="C18" s="856" t="str">
        <f ca="1">HYPERLINK("#"&amp;CELL("address",$A$29),"+")</f>
        <v>+</v>
      </c>
      <c r="D18" s="856" t="str">
        <f ca="1">HYPERLINK("#"&amp;CELL("address",$A$40),"+")</f>
        <v>+</v>
      </c>
      <c r="E18" s="856" t="str">
        <f ca="1">HYPERLINK("#"&amp;CELL("address",$A$50),"+")</f>
        <v>+</v>
      </c>
      <c r="F18" s="856" t="str">
        <f ca="1">HYPERLINK("#"&amp;CELL("address",$A$313),"+")</f>
        <v>+</v>
      </c>
      <c r="G18" s="856" t="str">
        <f ca="1">HYPERLINK("#"&amp;CELL("address",$A$351),"+")</f>
        <v>+</v>
      </c>
      <c r="H18" s="103"/>
      <c r="P18" s="699" t="s">
        <v>87</v>
      </c>
      <c r="Z18" s="699" t="s">
        <v>87</v>
      </c>
    </row>
    <row r="19" spans="1:26" ht="14.25" x14ac:dyDescent="0.2">
      <c r="A19" s="720"/>
      <c r="B19" s="124">
        <v>78</v>
      </c>
      <c r="C19" s="167">
        <v>1</v>
      </c>
      <c r="D19" s="167">
        <v>2</v>
      </c>
      <c r="E19" s="167">
        <v>3</v>
      </c>
      <c r="F19" s="167">
        <v>4</v>
      </c>
      <c r="G19" s="167">
        <v>5</v>
      </c>
      <c r="H19" s="214">
        <v>6</v>
      </c>
      <c r="P19" s="699" t="s">
        <v>87</v>
      </c>
      <c r="Z19" s="699" t="s">
        <v>87</v>
      </c>
    </row>
    <row r="20" spans="1:26" x14ac:dyDescent="0.2">
      <c r="A20" s="93" t="s">
        <v>728</v>
      </c>
      <c r="B20" s="234">
        <v>1</v>
      </c>
      <c r="C20" s="565">
        <f>SUM(G31)</f>
        <v>0</v>
      </c>
      <c r="D20" s="565">
        <f>SUM(G42)</f>
        <v>0</v>
      </c>
      <c r="E20" s="565">
        <f t="shared" ref="E20:E26" si="5">I52</f>
        <v>0</v>
      </c>
      <c r="F20" s="565">
        <f>SUM(G315)</f>
        <v>0</v>
      </c>
      <c r="G20" s="565">
        <f>SUM(H353)</f>
        <v>0</v>
      </c>
      <c r="H20" s="219">
        <f>SQRT(SUMPRODUCT(MMULT(-C20:G20,--ICS.Life.Corr),-C20:G20))</f>
        <v>0</v>
      </c>
      <c r="P20" s="699" t="s">
        <v>87</v>
      </c>
      <c r="Z20" s="699" t="s">
        <v>87</v>
      </c>
    </row>
    <row r="21" spans="1:26" ht="14.25" x14ac:dyDescent="0.2">
      <c r="A21" s="738" t="s">
        <v>721</v>
      </c>
      <c r="B21" s="234">
        <v>2</v>
      </c>
      <c r="C21" s="282" t="str">
        <f t="shared" ref="C21:C26" si="6">G32</f>
        <v>-</v>
      </c>
      <c r="D21" s="282" t="str">
        <f t="shared" ref="D21:D26" si="7">G43</f>
        <v>-</v>
      </c>
      <c r="E21" s="282">
        <f t="shared" si="5"/>
        <v>0</v>
      </c>
      <c r="F21" s="282">
        <f t="shared" ref="F21:F26" si="8">G316</f>
        <v>0</v>
      </c>
      <c r="G21" s="282" t="str">
        <f t="shared" ref="G21:G26" si="9">H354</f>
        <v>-</v>
      </c>
      <c r="H21" s="111"/>
      <c r="P21" s="699" t="s">
        <v>87</v>
      </c>
      <c r="Z21" s="699" t="s">
        <v>87</v>
      </c>
    </row>
    <row r="22" spans="1:26" ht="14.25" x14ac:dyDescent="0.2">
      <c r="A22" s="738" t="s">
        <v>722</v>
      </c>
      <c r="B22" s="234">
        <v>3</v>
      </c>
      <c r="C22" s="285" t="str">
        <f t="shared" si="6"/>
        <v>-</v>
      </c>
      <c r="D22" s="285" t="str">
        <f t="shared" si="7"/>
        <v>-</v>
      </c>
      <c r="E22" s="285">
        <f t="shared" si="5"/>
        <v>0</v>
      </c>
      <c r="F22" s="285">
        <f t="shared" si="8"/>
        <v>0</v>
      </c>
      <c r="G22" s="285" t="str">
        <f t="shared" si="9"/>
        <v>-</v>
      </c>
      <c r="H22" s="111"/>
      <c r="P22" s="699" t="s">
        <v>87</v>
      </c>
      <c r="Z22" s="699" t="s">
        <v>87</v>
      </c>
    </row>
    <row r="23" spans="1:26" ht="14.25" x14ac:dyDescent="0.2">
      <c r="A23" s="738" t="s">
        <v>723</v>
      </c>
      <c r="B23" s="234">
        <v>4</v>
      </c>
      <c r="C23" s="285" t="str">
        <f t="shared" si="6"/>
        <v>-</v>
      </c>
      <c r="D23" s="285" t="str">
        <f t="shared" si="7"/>
        <v>-</v>
      </c>
      <c r="E23" s="285">
        <f t="shared" si="5"/>
        <v>0</v>
      </c>
      <c r="F23" s="285">
        <f t="shared" si="8"/>
        <v>0</v>
      </c>
      <c r="G23" s="285" t="str">
        <f t="shared" si="9"/>
        <v>-</v>
      </c>
      <c r="H23" s="111"/>
      <c r="P23" s="699" t="s">
        <v>87</v>
      </c>
      <c r="Z23" s="699" t="s">
        <v>87</v>
      </c>
    </row>
    <row r="24" spans="1:26" ht="14.25" x14ac:dyDescent="0.2">
      <c r="A24" s="738" t="s">
        <v>724</v>
      </c>
      <c r="B24" s="234">
        <v>5</v>
      </c>
      <c r="C24" s="285" t="str">
        <f t="shared" si="6"/>
        <v>-</v>
      </c>
      <c r="D24" s="285" t="str">
        <f t="shared" si="7"/>
        <v>-</v>
      </c>
      <c r="E24" s="285">
        <f t="shared" si="5"/>
        <v>0</v>
      </c>
      <c r="F24" s="285">
        <f t="shared" si="8"/>
        <v>0</v>
      </c>
      <c r="G24" s="285" t="str">
        <f t="shared" si="9"/>
        <v>-</v>
      </c>
      <c r="H24" s="111"/>
      <c r="P24" s="699" t="s">
        <v>87</v>
      </c>
      <c r="Z24" s="699" t="s">
        <v>87</v>
      </c>
    </row>
    <row r="25" spans="1:26" ht="14.25" x14ac:dyDescent="0.2">
      <c r="A25" s="738" t="s">
        <v>725</v>
      </c>
      <c r="B25" s="234">
        <v>6</v>
      </c>
      <c r="C25" s="285" t="str">
        <f t="shared" si="6"/>
        <v>-</v>
      </c>
      <c r="D25" s="285" t="str">
        <f t="shared" si="7"/>
        <v>-</v>
      </c>
      <c r="E25" s="285">
        <f t="shared" si="5"/>
        <v>0</v>
      </c>
      <c r="F25" s="285">
        <f t="shared" si="8"/>
        <v>0</v>
      </c>
      <c r="G25" s="285" t="str">
        <f t="shared" si="9"/>
        <v>-</v>
      </c>
      <c r="H25" s="111"/>
      <c r="P25" s="699" t="s">
        <v>87</v>
      </c>
      <c r="Z25" s="699" t="s">
        <v>87</v>
      </c>
    </row>
    <row r="26" spans="1:26" ht="14.25" x14ac:dyDescent="0.2">
      <c r="A26" s="755" t="s">
        <v>726</v>
      </c>
      <c r="B26" s="261">
        <v>7</v>
      </c>
      <c r="C26" s="153" t="str">
        <f t="shared" si="6"/>
        <v>-</v>
      </c>
      <c r="D26" s="153" t="str">
        <f t="shared" si="7"/>
        <v>-</v>
      </c>
      <c r="E26" s="153">
        <f t="shared" si="5"/>
        <v>0</v>
      </c>
      <c r="F26" s="153">
        <f t="shared" si="8"/>
        <v>0</v>
      </c>
      <c r="G26" s="153" t="str">
        <f t="shared" si="9"/>
        <v>-</v>
      </c>
      <c r="H26" s="151"/>
      <c r="P26" s="699" t="s">
        <v>87</v>
      </c>
      <c r="Z26" s="699" t="s">
        <v>87</v>
      </c>
    </row>
    <row r="27" spans="1:26" x14ac:dyDescent="0.2">
      <c r="P27" s="699" t="s">
        <v>87</v>
      </c>
      <c r="Z27" s="699" t="s">
        <v>87</v>
      </c>
    </row>
    <row r="28" spans="1:26" ht="14.25" x14ac:dyDescent="0.2">
      <c r="A28" s="707"/>
      <c r="B28" s="764"/>
      <c r="C28" s="864" t="s">
        <v>1016</v>
      </c>
      <c r="F28" s="328" t="s">
        <v>1017</v>
      </c>
      <c r="G28" s="331"/>
      <c r="P28" s="699" t="s">
        <v>87</v>
      </c>
      <c r="Z28" s="699" t="s">
        <v>87</v>
      </c>
    </row>
    <row r="29" spans="1:26" ht="63.75" x14ac:dyDescent="0.2">
      <c r="A29" s="865" t="s">
        <v>1018</v>
      </c>
      <c r="B29" s="866"/>
      <c r="C29" s="278" t="s">
        <v>1019</v>
      </c>
      <c r="D29" s="278" t="s">
        <v>1020</v>
      </c>
      <c r="E29" s="278" t="s">
        <v>990</v>
      </c>
      <c r="F29" s="278" t="s">
        <v>691</v>
      </c>
      <c r="G29" s="278" t="s">
        <v>690</v>
      </c>
      <c r="P29" s="699" t="s">
        <v>87</v>
      </c>
      <c r="Z29" s="699" t="s">
        <v>87</v>
      </c>
    </row>
    <row r="30" spans="1:26" ht="14.25" x14ac:dyDescent="0.2">
      <c r="A30" s="662"/>
      <c r="B30" s="104">
        <v>79</v>
      </c>
      <c r="C30" s="105">
        <v>1</v>
      </c>
      <c r="D30" s="105">
        <v>2</v>
      </c>
      <c r="E30" s="105">
        <v>3</v>
      </c>
      <c r="F30" s="167" t="s">
        <v>1021</v>
      </c>
      <c r="G30" s="214" t="s">
        <v>1022</v>
      </c>
      <c r="P30" s="699" t="s">
        <v>87</v>
      </c>
      <c r="Z30" s="699" t="s">
        <v>87</v>
      </c>
    </row>
    <row r="31" spans="1:26" ht="14.25" x14ac:dyDescent="0.2">
      <c r="A31" s="867" t="s">
        <v>1023</v>
      </c>
      <c r="B31" s="108">
        <v>1</v>
      </c>
      <c r="C31" s="868"/>
      <c r="D31" s="869"/>
      <c r="E31" s="565" t="str">
        <f>IF(OR(G31&lt;&gt;"-",F31&lt;&gt;"-"),SUM(G31)-SUM(F31),"-")</f>
        <v>-</v>
      </c>
      <c r="F31" s="565" t="str">
        <f>IF(COUNTIF(F32:F37,"-")&lt;COUNTA(F32:F37),SUM(F32:F37),"-")</f>
        <v>-</v>
      </c>
      <c r="G31" s="565" t="str">
        <f>IF(COUNTIF(G32:G37,"-")&lt;COUNTA(G32:G37),SUM(G32:G37),"-")</f>
        <v>-</v>
      </c>
      <c r="P31" s="699" t="s">
        <v>87</v>
      </c>
      <c r="Z31" s="699" t="s">
        <v>87</v>
      </c>
    </row>
    <row r="32" spans="1:26" ht="14.25" x14ac:dyDescent="0.2">
      <c r="A32" s="738" t="s">
        <v>721</v>
      </c>
      <c r="B32" s="108">
        <v>2</v>
      </c>
      <c r="C32" s="149" t="s">
        <v>90</v>
      </c>
      <c r="D32" s="149" t="s">
        <v>90</v>
      </c>
      <c r="E32" s="149" t="s">
        <v>90</v>
      </c>
      <c r="F32" s="282" t="str">
        <f>IF(OR(C32&lt;&gt;"-",D32&lt;&gt;"-",E32&lt;&gt;"-"),MAX(0,SUM(C32)-SUM(D32)-SUM(E32)),"-")</f>
        <v>-</v>
      </c>
      <c r="G32" s="282" t="str">
        <f>IF(OR(C32&lt;&gt;"-",D32&lt;&gt;"-"),MAX(0,SUM(C32)-SUM(D32)),"-")</f>
        <v>-</v>
      </c>
      <c r="P32" s="699" t="s">
        <v>87</v>
      </c>
      <c r="Z32" s="699" t="s">
        <v>87</v>
      </c>
    </row>
    <row r="33" spans="1:26" ht="14.25" x14ac:dyDescent="0.2">
      <c r="A33" s="738" t="s">
        <v>722</v>
      </c>
      <c r="B33" s="108">
        <v>3</v>
      </c>
      <c r="C33" s="137" t="s">
        <v>90</v>
      </c>
      <c r="D33" s="137" t="s">
        <v>90</v>
      </c>
      <c r="E33" s="137" t="s">
        <v>90</v>
      </c>
      <c r="F33" s="285" t="str">
        <f t="shared" ref="F33:F37" si="10">IF(OR(C33&lt;&gt;"-",D33&lt;&gt;"-",E33&lt;&gt;"-"),MAX(0,SUM(C33)-SUM(D33)-SUM(E33)),"-")</f>
        <v>-</v>
      </c>
      <c r="G33" s="285" t="str">
        <f t="shared" ref="G33:G37" si="11">IF(OR(C33&lt;&gt;"-",D33&lt;&gt;"-"),MAX(0,SUM(C33)-SUM(D33)),"-")</f>
        <v>-</v>
      </c>
      <c r="P33" s="699" t="s">
        <v>87</v>
      </c>
      <c r="Z33" s="699" t="s">
        <v>87</v>
      </c>
    </row>
    <row r="34" spans="1:26" ht="14.25" x14ac:dyDescent="0.2">
      <c r="A34" s="738" t="s">
        <v>723</v>
      </c>
      <c r="B34" s="108">
        <v>4</v>
      </c>
      <c r="C34" s="137" t="s">
        <v>90</v>
      </c>
      <c r="D34" s="137" t="s">
        <v>90</v>
      </c>
      <c r="E34" s="137" t="s">
        <v>90</v>
      </c>
      <c r="F34" s="285" t="str">
        <f t="shared" si="10"/>
        <v>-</v>
      </c>
      <c r="G34" s="285" t="str">
        <f t="shared" si="11"/>
        <v>-</v>
      </c>
      <c r="P34" s="699" t="s">
        <v>87</v>
      </c>
      <c r="Z34" s="699" t="s">
        <v>87</v>
      </c>
    </row>
    <row r="35" spans="1:26" ht="14.25" x14ac:dyDescent="0.2">
      <c r="A35" s="738" t="s">
        <v>724</v>
      </c>
      <c r="B35" s="108">
        <v>5</v>
      </c>
      <c r="C35" s="137" t="s">
        <v>90</v>
      </c>
      <c r="D35" s="137" t="s">
        <v>90</v>
      </c>
      <c r="E35" s="137" t="s">
        <v>90</v>
      </c>
      <c r="F35" s="285" t="str">
        <f t="shared" si="10"/>
        <v>-</v>
      </c>
      <c r="G35" s="285" t="str">
        <f t="shared" si="11"/>
        <v>-</v>
      </c>
      <c r="P35" s="699" t="s">
        <v>87</v>
      </c>
      <c r="Z35" s="699" t="s">
        <v>87</v>
      </c>
    </row>
    <row r="36" spans="1:26" ht="14.25" x14ac:dyDescent="0.2">
      <c r="A36" s="738" t="s">
        <v>725</v>
      </c>
      <c r="B36" s="108">
        <v>6</v>
      </c>
      <c r="C36" s="137" t="s">
        <v>90</v>
      </c>
      <c r="D36" s="137" t="s">
        <v>90</v>
      </c>
      <c r="E36" s="137" t="s">
        <v>90</v>
      </c>
      <c r="F36" s="285" t="str">
        <f t="shared" si="10"/>
        <v>-</v>
      </c>
      <c r="G36" s="285" t="str">
        <f t="shared" si="11"/>
        <v>-</v>
      </c>
      <c r="P36" s="699" t="s">
        <v>87</v>
      </c>
      <c r="Z36" s="699" t="s">
        <v>87</v>
      </c>
    </row>
    <row r="37" spans="1:26" ht="14.25" x14ac:dyDescent="0.2">
      <c r="A37" s="755" t="s">
        <v>726</v>
      </c>
      <c r="B37" s="119">
        <v>7</v>
      </c>
      <c r="C37" s="139" t="s">
        <v>90</v>
      </c>
      <c r="D37" s="139" t="s">
        <v>90</v>
      </c>
      <c r="E37" s="139" t="s">
        <v>90</v>
      </c>
      <c r="F37" s="153" t="str">
        <f t="shared" si="10"/>
        <v>-</v>
      </c>
      <c r="G37" s="153" t="str">
        <f t="shared" si="11"/>
        <v>-</v>
      </c>
      <c r="P37" s="699" t="s">
        <v>87</v>
      </c>
      <c r="Z37" s="699" t="s">
        <v>87</v>
      </c>
    </row>
    <row r="38" spans="1:26" x14ac:dyDescent="0.2">
      <c r="P38" s="699" t="s">
        <v>87</v>
      </c>
      <c r="Z38" s="699" t="s">
        <v>87</v>
      </c>
    </row>
    <row r="39" spans="1:26" ht="14.25" x14ac:dyDescent="0.2">
      <c r="A39" s="707"/>
      <c r="B39" s="764"/>
      <c r="C39" s="864" t="s">
        <v>1016</v>
      </c>
      <c r="F39" s="328" t="s">
        <v>1017</v>
      </c>
      <c r="G39" s="331"/>
      <c r="K39" s="870"/>
      <c r="P39" s="699" t="s">
        <v>87</v>
      </c>
      <c r="Z39" s="699" t="s">
        <v>87</v>
      </c>
    </row>
    <row r="40" spans="1:26" ht="63.75" x14ac:dyDescent="0.2">
      <c r="A40" s="865" t="s">
        <v>1024</v>
      </c>
      <c r="B40" s="866"/>
      <c r="C40" s="278" t="s">
        <v>1019</v>
      </c>
      <c r="D40" s="278" t="s">
        <v>1020</v>
      </c>
      <c r="E40" s="278" t="s">
        <v>990</v>
      </c>
      <c r="F40" s="278" t="s">
        <v>691</v>
      </c>
      <c r="G40" s="278" t="s">
        <v>690</v>
      </c>
      <c r="K40" s="870"/>
      <c r="P40" s="699" t="s">
        <v>87</v>
      </c>
      <c r="Z40" s="699" t="s">
        <v>87</v>
      </c>
    </row>
    <row r="41" spans="1:26" ht="14.25" x14ac:dyDescent="0.2">
      <c r="A41" s="662"/>
      <c r="B41" s="104">
        <v>80</v>
      </c>
      <c r="C41" s="105">
        <v>1</v>
      </c>
      <c r="D41" s="105">
        <v>2</v>
      </c>
      <c r="E41" s="105">
        <v>3</v>
      </c>
      <c r="F41" s="167" t="s">
        <v>1021</v>
      </c>
      <c r="G41" s="214" t="s">
        <v>1022</v>
      </c>
      <c r="K41" s="870"/>
      <c r="P41" s="699" t="s">
        <v>87</v>
      </c>
      <c r="Z41" s="699" t="s">
        <v>87</v>
      </c>
    </row>
    <row r="42" spans="1:26" ht="14.25" x14ac:dyDescent="0.2">
      <c r="A42" s="867" t="s">
        <v>1023</v>
      </c>
      <c r="B42" s="108">
        <v>1</v>
      </c>
      <c r="C42" s="868"/>
      <c r="D42" s="869"/>
      <c r="E42" s="565" t="str">
        <f>IF(OR(G42&lt;&gt;"-",F42&lt;&gt;"-"),SUM(G42)-SUM(F42),"-")</f>
        <v>-</v>
      </c>
      <c r="F42" s="565" t="str">
        <f>IF(COUNTIF(F43:F48,"-")&lt;COUNTA(F43:F48),SUM(F43:F48),"-")</f>
        <v>-</v>
      </c>
      <c r="G42" s="565" t="str">
        <f>IF(COUNTIF(G43:G48,"-")&lt;COUNTA(G43:G48),SUM(G43:G48),"-")</f>
        <v>-</v>
      </c>
      <c r="K42" s="870"/>
      <c r="P42" s="699" t="s">
        <v>87</v>
      </c>
      <c r="Z42" s="699" t="s">
        <v>87</v>
      </c>
    </row>
    <row r="43" spans="1:26" ht="14.25" x14ac:dyDescent="0.2">
      <c r="A43" s="871" t="s">
        <v>721</v>
      </c>
      <c r="B43" s="108">
        <v>2</v>
      </c>
      <c r="C43" s="149" t="s">
        <v>90</v>
      </c>
      <c r="D43" s="149" t="s">
        <v>90</v>
      </c>
      <c r="E43" s="149" t="s">
        <v>90</v>
      </c>
      <c r="F43" s="282" t="str">
        <f>IF(OR(C43&lt;&gt;"-",D43&lt;&gt;"-",E43&lt;&gt;"-"),MAX(0,SUM(C43)-SUM(D43)-SUM(E43)),"-")</f>
        <v>-</v>
      </c>
      <c r="G43" s="282" t="str">
        <f>IF(OR(C43&lt;&gt;"-",D43&lt;&gt;"-"),MAX(0,SUM(C43)-SUM(D43)),"-")</f>
        <v>-</v>
      </c>
      <c r="K43" s="870"/>
      <c r="P43" s="699" t="s">
        <v>87</v>
      </c>
      <c r="Z43" s="699" t="s">
        <v>87</v>
      </c>
    </row>
    <row r="44" spans="1:26" ht="14.25" x14ac:dyDescent="0.2">
      <c r="A44" s="871" t="s">
        <v>722</v>
      </c>
      <c r="B44" s="108">
        <v>3</v>
      </c>
      <c r="C44" s="137" t="s">
        <v>90</v>
      </c>
      <c r="D44" s="137" t="s">
        <v>90</v>
      </c>
      <c r="E44" s="137" t="s">
        <v>90</v>
      </c>
      <c r="F44" s="285" t="str">
        <f t="shared" ref="F44:F48" si="12">IF(OR(C44&lt;&gt;"-",D44&lt;&gt;"-",E44&lt;&gt;"-"),MAX(0,SUM(C44)-SUM(D44)-SUM(E44)),"-")</f>
        <v>-</v>
      </c>
      <c r="G44" s="285" t="str">
        <f t="shared" ref="G44:G48" si="13">IF(OR(C44&lt;&gt;"-",D44&lt;&gt;"-"),MAX(0,SUM(C44)-SUM(D44)),"-")</f>
        <v>-</v>
      </c>
      <c r="K44" s="870"/>
      <c r="P44" s="699" t="s">
        <v>87</v>
      </c>
      <c r="Z44" s="699" t="s">
        <v>87</v>
      </c>
    </row>
    <row r="45" spans="1:26" ht="14.25" x14ac:dyDescent="0.2">
      <c r="A45" s="871" t="s">
        <v>723</v>
      </c>
      <c r="B45" s="108">
        <v>4</v>
      </c>
      <c r="C45" s="137" t="s">
        <v>90</v>
      </c>
      <c r="D45" s="137" t="s">
        <v>90</v>
      </c>
      <c r="E45" s="137" t="s">
        <v>90</v>
      </c>
      <c r="F45" s="285" t="str">
        <f t="shared" si="12"/>
        <v>-</v>
      </c>
      <c r="G45" s="285" t="str">
        <f t="shared" si="13"/>
        <v>-</v>
      </c>
      <c r="K45" s="870"/>
      <c r="P45" s="699" t="s">
        <v>87</v>
      </c>
      <c r="Z45" s="699" t="s">
        <v>87</v>
      </c>
    </row>
    <row r="46" spans="1:26" ht="14.25" x14ac:dyDescent="0.2">
      <c r="A46" s="871" t="s">
        <v>724</v>
      </c>
      <c r="B46" s="108">
        <v>5</v>
      </c>
      <c r="C46" s="137" t="s">
        <v>90</v>
      </c>
      <c r="D46" s="137" t="s">
        <v>90</v>
      </c>
      <c r="E46" s="137" t="s">
        <v>90</v>
      </c>
      <c r="F46" s="285" t="str">
        <f t="shared" si="12"/>
        <v>-</v>
      </c>
      <c r="G46" s="285" t="str">
        <f t="shared" si="13"/>
        <v>-</v>
      </c>
      <c r="K46" s="870"/>
      <c r="P46" s="699" t="s">
        <v>87</v>
      </c>
      <c r="Z46" s="699" t="s">
        <v>87</v>
      </c>
    </row>
    <row r="47" spans="1:26" ht="14.25" x14ac:dyDescent="0.2">
      <c r="A47" s="871" t="s">
        <v>725</v>
      </c>
      <c r="B47" s="108">
        <v>6</v>
      </c>
      <c r="C47" s="137" t="s">
        <v>90</v>
      </c>
      <c r="D47" s="137" t="s">
        <v>90</v>
      </c>
      <c r="E47" s="137" t="s">
        <v>90</v>
      </c>
      <c r="F47" s="285" t="str">
        <f t="shared" si="12"/>
        <v>-</v>
      </c>
      <c r="G47" s="285" t="str">
        <f t="shared" si="13"/>
        <v>-</v>
      </c>
      <c r="K47" s="870"/>
      <c r="P47" s="699" t="s">
        <v>87</v>
      </c>
      <c r="Z47" s="699" t="s">
        <v>87</v>
      </c>
    </row>
    <row r="48" spans="1:26" ht="14.25" x14ac:dyDescent="0.2">
      <c r="A48" s="872" t="s">
        <v>726</v>
      </c>
      <c r="B48" s="119">
        <v>7</v>
      </c>
      <c r="C48" s="139" t="s">
        <v>90</v>
      </c>
      <c r="D48" s="139" t="s">
        <v>90</v>
      </c>
      <c r="E48" s="139" t="s">
        <v>90</v>
      </c>
      <c r="F48" s="153" t="str">
        <f t="shared" si="12"/>
        <v>-</v>
      </c>
      <c r="G48" s="153" t="str">
        <f t="shared" si="13"/>
        <v>-</v>
      </c>
      <c r="K48" s="870"/>
      <c r="P48" s="699" t="s">
        <v>87</v>
      </c>
      <c r="Z48" s="699" t="s">
        <v>87</v>
      </c>
    </row>
    <row r="49" spans="1:26" x14ac:dyDescent="0.2">
      <c r="K49" s="870"/>
      <c r="P49" s="699" t="s">
        <v>87</v>
      </c>
      <c r="Z49" s="699" t="s">
        <v>87</v>
      </c>
    </row>
    <row r="50" spans="1:26" ht="63.75" x14ac:dyDescent="0.2">
      <c r="A50" s="873" t="s">
        <v>1025</v>
      </c>
      <c r="B50" s="708"/>
      <c r="C50" s="278" t="s">
        <v>1026</v>
      </c>
      <c r="D50" s="278" t="s">
        <v>1027</v>
      </c>
      <c r="E50" s="278" t="s">
        <v>1028</v>
      </c>
      <c r="F50" s="278" t="s">
        <v>1029</v>
      </c>
      <c r="G50" s="278" t="s">
        <v>1030</v>
      </c>
      <c r="H50" s="278" t="s">
        <v>1031</v>
      </c>
      <c r="I50" s="278" t="s">
        <v>1032</v>
      </c>
      <c r="P50" s="699" t="s">
        <v>87</v>
      </c>
      <c r="Z50" s="699" t="s">
        <v>87</v>
      </c>
    </row>
    <row r="51" spans="1:26" ht="14.25" x14ac:dyDescent="0.2">
      <c r="A51" s="720"/>
      <c r="B51" s="104">
        <v>81</v>
      </c>
      <c r="C51" s="105">
        <v>1</v>
      </c>
      <c r="D51" s="105">
        <v>2</v>
      </c>
      <c r="E51" s="105">
        <v>3</v>
      </c>
      <c r="F51" s="105">
        <v>4</v>
      </c>
      <c r="G51" s="105">
        <v>5</v>
      </c>
      <c r="H51" s="106" t="s">
        <v>1033</v>
      </c>
      <c r="I51" s="105">
        <v>7</v>
      </c>
      <c r="P51" s="699" t="s">
        <v>87</v>
      </c>
      <c r="Z51" s="699" t="s">
        <v>87</v>
      </c>
    </row>
    <row r="52" spans="1:26" ht="14.25" x14ac:dyDescent="0.2">
      <c r="A52" s="867" t="s">
        <v>1023</v>
      </c>
      <c r="B52" s="108">
        <v>1</v>
      </c>
      <c r="C52" s="565">
        <f>IF(COUNTIF(C53:C58,"-")&lt;COUNTA(C53:C58),SUM(C53:C58),"-")</f>
        <v>0</v>
      </c>
      <c r="D52" s="565">
        <f>IF(COUNTIF(D53:D58,"-")&lt;COUNTA(D53:D58),SUM(D53:D58),"-")</f>
        <v>0</v>
      </c>
      <c r="E52" s="565">
        <f>IF(COUNTIF(E53:E58,"-")&lt;COUNTA(E53:E58),SUM(E53:E58),"-")</f>
        <v>0</v>
      </c>
      <c r="F52" s="565">
        <f>IF(COUNTIF(F53:F58,"-")&lt;COUNTA(F53:F58),SUM(F53:F58),"-")</f>
        <v>0</v>
      </c>
      <c r="G52" s="565">
        <f>IF(COUNTIF(G53:G58,"-")&lt;COUNTA(G53:G58),SUM(G53:G58),"-")</f>
        <v>0</v>
      </c>
      <c r="H52" s="852">
        <f>IF(COUNTIF(C52:G52,"-")&lt;COUNTA(C52:G52),SUM(C52:G52),"-")</f>
        <v>0</v>
      </c>
      <c r="I52" s="565">
        <f>IF(COUNTIF(I53:I58,"-")&lt;COUNTA(I53:I58),SUM(I53:I58),"-")</f>
        <v>0</v>
      </c>
      <c r="P52" s="699" t="s">
        <v>87</v>
      </c>
      <c r="Z52" s="699" t="s">
        <v>87</v>
      </c>
    </row>
    <row r="53" spans="1:26" ht="14.25" x14ac:dyDescent="0.2">
      <c r="A53" s="871" t="s">
        <v>721</v>
      </c>
      <c r="B53" s="108">
        <v>2</v>
      </c>
      <c r="C53" s="133">
        <f>F63</f>
        <v>0</v>
      </c>
      <c r="D53" s="133">
        <f>F67</f>
        <v>0</v>
      </c>
      <c r="E53" s="133">
        <f>F71</f>
        <v>0</v>
      </c>
      <c r="F53" s="133">
        <f>F81</f>
        <v>0</v>
      </c>
      <c r="G53" s="133">
        <f>F91</f>
        <v>0</v>
      </c>
      <c r="H53" s="811">
        <f t="shared" ref="H53:H58" si="14">SUM(C53:G53)</f>
        <v>0</v>
      </c>
      <c r="I53" s="811">
        <f>SUM(G63,G67,G71,G81,G91)</f>
        <v>0</v>
      </c>
      <c r="P53" s="699" t="s">
        <v>87</v>
      </c>
      <c r="Z53" s="699" t="s">
        <v>87</v>
      </c>
    </row>
    <row r="54" spans="1:26" ht="14.25" x14ac:dyDescent="0.2">
      <c r="A54" s="871" t="s">
        <v>722</v>
      </c>
      <c r="B54" s="108">
        <v>3</v>
      </c>
      <c r="C54" s="285">
        <f>F105</f>
        <v>0</v>
      </c>
      <c r="D54" s="285">
        <f>F109</f>
        <v>0</v>
      </c>
      <c r="E54" s="285">
        <f>F113</f>
        <v>0</v>
      </c>
      <c r="F54" s="285">
        <f>F123</f>
        <v>0</v>
      </c>
      <c r="G54" s="285">
        <f>F133</f>
        <v>0</v>
      </c>
      <c r="H54" s="811">
        <f t="shared" si="14"/>
        <v>0</v>
      </c>
      <c r="I54" s="811">
        <f>SUM(G105,G109,G113,G123,G133)</f>
        <v>0</v>
      </c>
      <c r="P54" s="699" t="s">
        <v>87</v>
      </c>
      <c r="Z54" s="699" t="s">
        <v>87</v>
      </c>
    </row>
    <row r="55" spans="1:26" ht="14.25" x14ac:dyDescent="0.2">
      <c r="A55" s="871" t="s">
        <v>723</v>
      </c>
      <c r="B55" s="108">
        <v>4</v>
      </c>
      <c r="C55" s="285">
        <f>F147</f>
        <v>0</v>
      </c>
      <c r="D55" s="285">
        <f>F151</f>
        <v>0</v>
      </c>
      <c r="E55" s="285">
        <f>F155</f>
        <v>0</v>
      </c>
      <c r="F55" s="285">
        <f>F165</f>
        <v>0</v>
      </c>
      <c r="G55" s="285">
        <f>F175</f>
        <v>0</v>
      </c>
      <c r="H55" s="811">
        <f t="shared" si="14"/>
        <v>0</v>
      </c>
      <c r="I55" s="811">
        <f>SUM(G147,G151,G155,G165,G175)</f>
        <v>0</v>
      </c>
      <c r="P55" s="699" t="s">
        <v>87</v>
      </c>
      <c r="Z55" s="699" t="s">
        <v>87</v>
      </c>
    </row>
    <row r="56" spans="1:26" ht="14.25" x14ac:dyDescent="0.2">
      <c r="A56" s="871" t="s">
        <v>724</v>
      </c>
      <c r="B56" s="108">
        <v>5</v>
      </c>
      <c r="C56" s="285">
        <f>F189</f>
        <v>0</v>
      </c>
      <c r="D56" s="285">
        <f>F193</f>
        <v>0</v>
      </c>
      <c r="E56" s="285">
        <f>F197</f>
        <v>0</v>
      </c>
      <c r="F56" s="285">
        <f>F207</f>
        <v>0</v>
      </c>
      <c r="G56" s="285">
        <f>F217</f>
        <v>0</v>
      </c>
      <c r="H56" s="811">
        <f t="shared" si="14"/>
        <v>0</v>
      </c>
      <c r="I56" s="811">
        <f>SUM(G189,G193,G197,G207,G217)</f>
        <v>0</v>
      </c>
      <c r="P56" s="699" t="s">
        <v>87</v>
      </c>
      <c r="Z56" s="699" t="s">
        <v>87</v>
      </c>
    </row>
    <row r="57" spans="1:26" ht="14.25" x14ac:dyDescent="0.2">
      <c r="A57" s="871" t="s">
        <v>725</v>
      </c>
      <c r="B57" s="108">
        <v>6</v>
      </c>
      <c r="C57" s="285">
        <f>F231</f>
        <v>0</v>
      </c>
      <c r="D57" s="285">
        <f>F235</f>
        <v>0</v>
      </c>
      <c r="E57" s="285">
        <f>F239</f>
        <v>0</v>
      </c>
      <c r="F57" s="285">
        <f>F249</f>
        <v>0</v>
      </c>
      <c r="G57" s="285">
        <f>F259</f>
        <v>0</v>
      </c>
      <c r="H57" s="811">
        <f t="shared" si="14"/>
        <v>0</v>
      </c>
      <c r="I57" s="811">
        <f>SUM(G231,G235,G239,G249,G259)</f>
        <v>0</v>
      </c>
      <c r="P57" s="699" t="s">
        <v>87</v>
      </c>
      <c r="Z57" s="699" t="s">
        <v>87</v>
      </c>
    </row>
    <row r="58" spans="1:26" ht="14.25" x14ac:dyDescent="0.2">
      <c r="A58" s="872" t="s">
        <v>726</v>
      </c>
      <c r="B58" s="119">
        <v>7</v>
      </c>
      <c r="C58" s="153">
        <f>F273</f>
        <v>0</v>
      </c>
      <c r="D58" s="153">
        <f>F277</f>
        <v>0</v>
      </c>
      <c r="E58" s="153">
        <f>F281</f>
        <v>0</v>
      </c>
      <c r="F58" s="153">
        <f>F291</f>
        <v>0</v>
      </c>
      <c r="G58" s="153">
        <f>F301</f>
        <v>0</v>
      </c>
      <c r="H58" s="649">
        <f t="shared" si="14"/>
        <v>0</v>
      </c>
      <c r="I58" s="649">
        <f>SUM(G273,G277,G281,G291,G301)</f>
        <v>0</v>
      </c>
      <c r="P58" s="699" t="s">
        <v>87</v>
      </c>
      <c r="Z58" s="699" t="s">
        <v>87</v>
      </c>
    </row>
    <row r="59" spans="1:26" x14ac:dyDescent="0.2">
      <c r="P59" s="699" t="s">
        <v>87</v>
      </c>
      <c r="Z59" s="699" t="s">
        <v>87</v>
      </c>
    </row>
    <row r="60" spans="1:26" ht="14.25" x14ac:dyDescent="0.2">
      <c r="A60" s="874" t="s">
        <v>1034</v>
      </c>
      <c r="B60" s="875"/>
      <c r="C60" s="864" t="s">
        <v>1016</v>
      </c>
      <c r="F60" s="328" t="s">
        <v>1017</v>
      </c>
      <c r="G60" s="331"/>
      <c r="P60" s="699" t="s">
        <v>87</v>
      </c>
      <c r="Z60" s="699" t="s">
        <v>87</v>
      </c>
    </row>
    <row r="61" spans="1:26" ht="63.75" x14ac:dyDescent="0.2">
      <c r="A61" s="876" t="s">
        <v>721</v>
      </c>
      <c r="B61" s="877"/>
      <c r="C61" s="278" t="s">
        <v>1019</v>
      </c>
      <c r="D61" s="278" t="s">
        <v>1035</v>
      </c>
      <c r="E61" s="278" t="s">
        <v>990</v>
      </c>
      <c r="F61" s="278" t="s">
        <v>691</v>
      </c>
      <c r="G61" s="278" t="s">
        <v>690</v>
      </c>
      <c r="H61" s="278" t="s">
        <v>1036</v>
      </c>
      <c r="I61" s="278" t="s">
        <v>1037</v>
      </c>
      <c r="J61" s="1432" t="s">
        <v>1038</v>
      </c>
      <c r="K61" s="1433"/>
      <c r="L61" s="1433"/>
      <c r="M61" s="1434"/>
      <c r="P61" s="699" t="s">
        <v>87</v>
      </c>
      <c r="Z61" s="699" t="s">
        <v>87</v>
      </c>
    </row>
    <row r="62" spans="1:26" ht="14.25" x14ac:dyDescent="0.2">
      <c r="A62" s="878"/>
      <c r="B62" s="124">
        <v>82</v>
      </c>
      <c r="C62" s="105">
        <v>1</v>
      </c>
      <c r="D62" s="105">
        <v>2</v>
      </c>
      <c r="E62" s="105">
        <v>3</v>
      </c>
      <c r="F62" s="167" t="s">
        <v>1021</v>
      </c>
      <c r="G62" s="214" t="s">
        <v>1022</v>
      </c>
      <c r="H62" s="167">
        <v>6</v>
      </c>
      <c r="I62" s="167">
        <v>7</v>
      </c>
      <c r="J62" s="1465">
        <v>8</v>
      </c>
      <c r="K62" s="1465"/>
      <c r="L62" s="1465"/>
      <c r="M62" s="1466"/>
      <c r="P62" s="699" t="s">
        <v>87</v>
      </c>
      <c r="Z62" s="699" t="s">
        <v>87</v>
      </c>
    </row>
    <row r="63" spans="1:26" x14ac:dyDescent="0.2">
      <c r="A63" s="879" t="s">
        <v>1026</v>
      </c>
      <c r="B63" s="169">
        <v>1</v>
      </c>
      <c r="C63" s="225"/>
      <c r="D63" s="225"/>
      <c r="E63" s="225"/>
      <c r="F63" s="565">
        <f>SUM(F64:F66)</f>
        <v>0</v>
      </c>
      <c r="G63" s="565">
        <f>SUM(G64:G66)</f>
        <v>0</v>
      </c>
      <c r="H63" s="225"/>
      <c r="I63" s="225"/>
      <c r="J63" s="1454" t="s">
        <v>1039</v>
      </c>
      <c r="K63" s="1455"/>
      <c r="L63" s="1455"/>
      <c r="M63" s="1456"/>
      <c r="P63" s="699" t="s">
        <v>87</v>
      </c>
      <c r="Z63" s="699" t="s">
        <v>87</v>
      </c>
    </row>
    <row r="64" spans="1:26" x14ac:dyDescent="0.2">
      <c r="A64" s="880" t="s">
        <v>1040</v>
      </c>
      <c r="B64" s="169">
        <v>2</v>
      </c>
      <c r="C64" s="149" t="s">
        <v>90</v>
      </c>
      <c r="D64" s="149" t="s">
        <v>90</v>
      </c>
      <c r="E64" s="149" t="s">
        <v>90</v>
      </c>
      <c r="F64" s="282" t="str">
        <f t="shared" ref="F64:F70" si="15">IF(OR(C64&lt;&gt;"-",D64&lt;&gt;"-",E64&lt;&gt;"-"),MAX(0,SUM(C64)-SUM(D64)-SUM(E64)),"-")</f>
        <v>-</v>
      </c>
      <c r="G64" s="282" t="str">
        <f t="shared" ref="G64:G66" si="16">IF(OR(C64&lt;&gt;"-",D64&lt;&gt;"-"),MAX(0,SUM(C64)-SUM(D64)),"-")</f>
        <v>-</v>
      </c>
      <c r="H64" s="149" t="s">
        <v>90</v>
      </c>
      <c r="I64" s="230"/>
      <c r="J64" s="1460"/>
      <c r="K64" s="1458"/>
      <c r="L64" s="1458"/>
      <c r="M64" s="1459"/>
      <c r="P64" s="699" t="s">
        <v>87</v>
      </c>
      <c r="Z64" s="699" t="s">
        <v>87</v>
      </c>
    </row>
    <row r="65" spans="1:26" x14ac:dyDescent="0.2">
      <c r="A65" s="880" t="s">
        <v>1041</v>
      </c>
      <c r="B65" s="169">
        <v>3</v>
      </c>
      <c r="C65" s="137" t="s">
        <v>90</v>
      </c>
      <c r="D65" s="137" t="s">
        <v>90</v>
      </c>
      <c r="E65" s="137" t="s">
        <v>90</v>
      </c>
      <c r="F65" s="152" t="str">
        <f t="shared" si="15"/>
        <v>-</v>
      </c>
      <c r="G65" s="285" t="str">
        <f t="shared" si="16"/>
        <v>-</v>
      </c>
      <c r="H65" s="137" t="s">
        <v>90</v>
      </c>
      <c r="I65" s="230"/>
      <c r="J65" s="1460"/>
      <c r="K65" s="1458"/>
      <c r="L65" s="1458"/>
      <c r="M65" s="1459"/>
      <c r="P65" s="699" t="s">
        <v>87</v>
      </c>
      <c r="Z65" s="699" t="s">
        <v>87</v>
      </c>
    </row>
    <row r="66" spans="1:26" x14ac:dyDescent="0.2">
      <c r="A66" s="881" t="s">
        <v>1042</v>
      </c>
      <c r="B66" s="162">
        <v>4</v>
      </c>
      <c r="C66" s="139" t="s">
        <v>90</v>
      </c>
      <c r="D66" s="139" t="s">
        <v>90</v>
      </c>
      <c r="E66" s="139" t="s">
        <v>90</v>
      </c>
      <c r="F66" s="882" t="str">
        <f t="shared" si="15"/>
        <v>-</v>
      </c>
      <c r="G66" s="153" t="str">
        <f t="shared" si="16"/>
        <v>-</v>
      </c>
      <c r="H66" s="139" t="s">
        <v>90</v>
      </c>
      <c r="I66" s="323"/>
      <c r="J66" s="1461"/>
      <c r="K66" s="1462"/>
      <c r="L66" s="1462"/>
      <c r="M66" s="1463"/>
      <c r="P66" s="699" t="s">
        <v>87</v>
      </c>
      <c r="Z66" s="699" t="s">
        <v>87</v>
      </c>
    </row>
    <row r="67" spans="1:26" x14ac:dyDescent="0.2">
      <c r="A67" s="879" t="s">
        <v>1027</v>
      </c>
      <c r="B67" s="883"/>
      <c r="C67" s="884"/>
      <c r="D67" s="884"/>
      <c r="E67" s="884"/>
      <c r="F67" s="885">
        <f>SUM(F68:F70)</f>
        <v>0</v>
      </c>
      <c r="G67" s="886">
        <f>SUM(G68:G70)</f>
        <v>0</v>
      </c>
      <c r="H67" s="884"/>
      <c r="I67" s="884"/>
      <c r="J67" s="1454" t="s">
        <v>1039</v>
      </c>
      <c r="K67" s="1455"/>
      <c r="L67" s="1455"/>
      <c r="M67" s="1456"/>
      <c r="P67" s="699" t="s">
        <v>87</v>
      </c>
      <c r="Z67" s="699" t="s">
        <v>87</v>
      </c>
    </row>
    <row r="68" spans="1:26" x14ac:dyDescent="0.2">
      <c r="A68" s="880" t="s">
        <v>1040</v>
      </c>
      <c r="B68" s="169">
        <v>5</v>
      </c>
      <c r="C68" s="149" t="s">
        <v>90</v>
      </c>
      <c r="D68" s="149" t="s">
        <v>90</v>
      </c>
      <c r="E68" s="149" t="s">
        <v>90</v>
      </c>
      <c r="F68" s="282" t="str">
        <f t="shared" si="15"/>
        <v>-</v>
      </c>
      <c r="G68" s="282" t="str">
        <f t="shared" ref="G68:G70" si="17">IF(OR(C68&lt;&gt;"-",D68&lt;&gt;"-"),MAX(0,SUM(C68)-SUM(D68)),"-")</f>
        <v>-</v>
      </c>
      <c r="H68" s="149" t="s">
        <v>90</v>
      </c>
      <c r="I68" s="230"/>
      <c r="J68" s="1460"/>
      <c r="K68" s="1458"/>
      <c r="L68" s="1458"/>
      <c r="M68" s="1459"/>
      <c r="P68" s="699" t="s">
        <v>87</v>
      </c>
      <c r="Z68" s="699" t="s">
        <v>87</v>
      </c>
    </row>
    <row r="69" spans="1:26" x14ac:dyDescent="0.2">
      <c r="A69" s="880" t="s">
        <v>1041</v>
      </c>
      <c r="B69" s="169">
        <v>6</v>
      </c>
      <c r="C69" s="137" t="s">
        <v>90</v>
      </c>
      <c r="D69" s="137" t="s">
        <v>90</v>
      </c>
      <c r="E69" s="137" t="s">
        <v>90</v>
      </c>
      <c r="F69" s="152" t="str">
        <f t="shared" si="15"/>
        <v>-</v>
      </c>
      <c r="G69" s="285" t="str">
        <f t="shared" si="17"/>
        <v>-</v>
      </c>
      <c r="H69" s="137" t="s">
        <v>90</v>
      </c>
      <c r="I69" s="230"/>
      <c r="J69" s="1460"/>
      <c r="K69" s="1458"/>
      <c r="L69" s="1458"/>
      <c r="M69" s="1459"/>
      <c r="P69" s="699" t="s">
        <v>87</v>
      </c>
      <c r="Z69" s="699" t="s">
        <v>87</v>
      </c>
    </row>
    <row r="70" spans="1:26" x14ac:dyDescent="0.2">
      <c r="A70" s="881" t="s">
        <v>1042</v>
      </c>
      <c r="B70" s="162">
        <v>7</v>
      </c>
      <c r="C70" s="139" t="s">
        <v>90</v>
      </c>
      <c r="D70" s="139" t="s">
        <v>90</v>
      </c>
      <c r="E70" s="139" t="s">
        <v>90</v>
      </c>
      <c r="F70" s="882" t="str">
        <f t="shared" si="15"/>
        <v>-</v>
      </c>
      <c r="G70" s="153" t="str">
        <f t="shared" si="17"/>
        <v>-</v>
      </c>
      <c r="H70" s="139" t="s">
        <v>90</v>
      </c>
      <c r="I70" s="323"/>
      <c r="J70" s="1461"/>
      <c r="K70" s="1462"/>
      <c r="L70" s="1462"/>
      <c r="M70" s="1463"/>
      <c r="P70" s="699" t="s">
        <v>87</v>
      </c>
      <c r="Z70" s="699" t="s">
        <v>87</v>
      </c>
    </row>
    <row r="71" spans="1:26" x14ac:dyDescent="0.2">
      <c r="A71" s="879" t="s">
        <v>1028</v>
      </c>
      <c r="B71" s="883">
        <v>8</v>
      </c>
      <c r="C71" s="225"/>
      <c r="D71" s="225"/>
      <c r="E71" s="225"/>
      <c r="F71" s="885">
        <f>SUM(F73:F80)</f>
        <v>0</v>
      </c>
      <c r="G71" s="565">
        <f>SUM(G73:G80)</f>
        <v>0</v>
      </c>
      <c r="H71" s="225"/>
      <c r="I71" s="225"/>
      <c r="J71" s="1454"/>
      <c r="K71" s="1455"/>
      <c r="L71" s="1455"/>
      <c r="M71" s="1456"/>
      <c r="P71" s="699" t="s">
        <v>87</v>
      </c>
      <c r="Z71" s="699" t="s">
        <v>87</v>
      </c>
    </row>
    <row r="72" spans="1:26" x14ac:dyDescent="0.2">
      <c r="A72" s="880" t="s">
        <v>1040</v>
      </c>
      <c r="B72" s="169"/>
      <c r="C72" s="230"/>
      <c r="D72" s="230"/>
      <c r="E72" s="230"/>
      <c r="F72" s="230"/>
      <c r="G72" s="230"/>
      <c r="H72" s="230"/>
      <c r="I72" s="230"/>
      <c r="J72" s="1457"/>
      <c r="K72" s="1458"/>
      <c r="L72" s="1458"/>
      <c r="M72" s="1459"/>
      <c r="P72" s="699" t="s">
        <v>87</v>
      </c>
      <c r="Z72" s="699" t="s">
        <v>87</v>
      </c>
    </row>
    <row r="73" spans="1:26" x14ac:dyDescent="0.2">
      <c r="A73" s="287" t="s">
        <v>1043</v>
      </c>
      <c r="B73" s="169">
        <v>9</v>
      </c>
      <c r="C73" s="149" t="s">
        <v>90</v>
      </c>
      <c r="D73" s="149" t="s">
        <v>90</v>
      </c>
      <c r="E73" s="149" t="s">
        <v>90</v>
      </c>
      <c r="F73" s="282" t="str">
        <f t="shared" ref="F73:F80" si="18">IF(OR(C73&lt;&gt;"-",D73&lt;&gt;"-",E73&lt;&gt;"-"),MAX(0,SUM(C73)-SUM(D73)-SUM(E73)),"-")</f>
        <v>-</v>
      </c>
      <c r="G73" s="282" t="str">
        <f t="shared" ref="G73:G74" si="19">IF(OR(C73&lt;&gt;"-",D73&lt;&gt;"-"),MAX(0,SUM(C73)-SUM(D73)),"-")</f>
        <v>-</v>
      </c>
      <c r="H73" s="149" t="s">
        <v>90</v>
      </c>
      <c r="I73" s="742"/>
      <c r="J73" s="1460"/>
      <c r="K73" s="1458"/>
      <c r="L73" s="1458"/>
      <c r="M73" s="1459"/>
      <c r="P73" s="699" t="s">
        <v>87</v>
      </c>
      <c r="Z73" s="699" t="s">
        <v>87</v>
      </c>
    </row>
    <row r="74" spans="1:26" x14ac:dyDescent="0.2">
      <c r="A74" s="287" t="s">
        <v>1044</v>
      </c>
      <c r="B74" s="169">
        <v>10</v>
      </c>
      <c r="C74" s="139" t="s">
        <v>90</v>
      </c>
      <c r="D74" s="139" t="s">
        <v>90</v>
      </c>
      <c r="E74" s="139" t="s">
        <v>90</v>
      </c>
      <c r="F74" s="882" t="str">
        <f t="shared" si="18"/>
        <v>-</v>
      </c>
      <c r="G74" s="153" t="str">
        <f t="shared" si="19"/>
        <v>-</v>
      </c>
      <c r="H74" s="323"/>
      <c r="I74" s="139" t="s">
        <v>90</v>
      </c>
      <c r="J74" s="1460"/>
      <c r="K74" s="1458"/>
      <c r="L74" s="1458"/>
      <c r="M74" s="1459"/>
      <c r="P74" s="699" t="s">
        <v>87</v>
      </c>
      <c r="Z74" s="699" t="s">
        <v>87</v>
      </c>
    </row>
    <row r="75" spans="1:26" x14ac:dyDescent="0.2">
      <c r="A75" s="880" t="s">
        <v>1041</v>
      </c>
      <c r="B75" s="169"/>
      <c r="C75" s="230"/>
      <c r="D75" s="230"/>
      <c r="E75" s="230"/>
      <c r="F75" s="230"/>
      <c r="G75" s="230"/>
      <c r="H75" s="230"/>
      <c r="I75" s="230"/>
      <c r="J75" s="1457"/>
      <c r="K75" s="1458"/>
      <c r="L75" s="1458"/>
      <c r="M75" s="1459"/>
      <c r="P75" s="699" t="s">
        <v>87</v>
      </c>
      <c r="Z75" s="699" t="s">
        <v>87</v>
      </c>
    </row>
    <row r="76" spans="1:26" x14ac:dyDescent="0.2">
      <c r="A76" s="287" t="s">
        <v>1043</v>
      </c>
      <c r="B76" s="169">
        <v>11</v>
      </c>
      <c r="C76" s="149" t="s">
        <v>90</v>
      </c>
      <c r="D76" s="149" t="s">
        <v>90</v>
      </c>
      <c r="E76" s="149" t="s">
        <v>90</v>
      </c>
      <c r="F76" s="282" t="str">
        <f t="shared" si="18"/>
        <v>-</v>
      </c>
      <c r="G76" s="282" t="str">
        <f t="shared" ref="G76:G77" si="20">IF(OR(C76&lt;&gt;"-",D76&lt;&gt;"-"),MAX(0,SUM(C76)-SUM(D76)),"-")</f>
        <v>-</v>
      </c>
      <c r="H76" s="149" t="s">
        <v>90</v>
      </c>
      <c r="I76" s="742"/>
      <c r="J76" s="1460"/>
      <c r="K76" s="1458"/>
      <c r="L76" s="1458"/>
      <c r="M76" s="1459"/>
      <c r="P76" s="699" t="s">
        <v>87</v>
      </c>
      <c r="Z76" s="699" t="s">
        <v>87</v>
      </c>
    </row>
    <row r="77" spans="1:26" x14ac:dyDescent="0.2">
      <c r="A77" s="287" t="s">
        <v>1044</v>
      </c>
      <c r="B77" s="169">
        <v>12</v>
      </c>
      <c r="C77" s="139" t="s">
        <v>90</v>
      </c>
      <c r="D77" s="139" t="s">
        <v>90</v>
      </c>
      <c r="E77" s="139" t="s">
        <v>90</v>
      </c>
      <c r="F77" s="882" t="str">
        <f t="shared" si="18"/>
        <v>-</v>
      </c>
      <c r="G77" s="153" t="str">
        <f t="shared" si="20"/>
        <v>-</v>
      </c>
      <c r="H77" s="323"/>
      <c r="I77" s="139" t="s">
        <v>90</v>
      </c>
      <c r="J77" s="1460"/>
      <c r="K77" s="1458"/>
      <c r="L77" s="1458"/>
      <c r="M77" s="1459"/>
      <c r="P77" s="699" t="s">
        <v>87</v>
      </c>
      <c r="Z77" s="699" t="s">
        <v>87</v>
      </c>
    </row>
    <row r="78" spans="1:26" x14ac:dyDescent="0.2">
      <c r="A78" s="880" t="s">
        <v>1042</v>
      </c>
      <c r="B78" s="169"/>
      <c r="C78" s="230"/>
      <c r="D78" s="230"/>
      <c r="E78" s="230"/>
      <c r="F78" s="230"/>
      <c r="G78" s="230"/>
      <c r="H78" s="230"/>
      <c r="I78" s="230"/>
      <c r="J78" s="1457"/>
      <c r="K78" s="1458"/>
      <c r="L78" s="1458"/>
      <c r="M78" s="1459"/>
      <c r="P78" s="699" t="s">
        <v>87</v>
      </c>
      <c r="Z78" s="699" t="s">
        <v>87</v>
      </c>
    </row>
    <row r="79" spans="1:26" x14ac:dyDescent="0.2">
      <c r="A79" s="287" t="s">
        <v>1043</v>
      </c>
      <c r="B79" s="169">
        <v>13</v>
      </c>
      <c r="C79" s="149" t="s">
        <v>90</v>
      </c>
      <c r="D79" s="149" t="s">
        <v>90</v>
      </c>
      <c r="E79" s="149" t="s">
        <v>90</v>
      </c>
      <c r="F79" s="282" t="str">
        <f t="shared" si="18"/>
        <v>-</v>
      </c>
      <c r="G79" s="282" t="str">
        <f t="shared" ref="G79:G80" si="21">IF(OR(C79&lt;&gt;"-",D79&lt;&gt;"-"),MAX(0,SUM(C79)-SUM(D79)),"-")</f>
        <v>-</v>
      </c>
      <c r="H79" s="149" t="s">
        <v>90</v>
      </c>
      <c r="I79" s="742"/>
      <c r="J79" s="1460"/>
      <c r="K79" s="1458"/>
      <c r="L79" s="1458"/>
      <c r="M79" s="1459"/>
      <c r="P79" s="699" t="s">
        <v>87</v>
      </c>
      <c r="Z79" s="699" t="s">
        <v>87</v>
      </c>
    </row>
    <row r="80" spans="1:26" x14ac:dyDescent="0.2">
      <c r="A80" s="291" t="s">
        <v>1044</v>
      </c>
      <c r="B80" s="162">
        <v>14</v>
      </c>
      <c r="C80" s="139" t="s">
        <v>90</v>
      </c>
      <c r="D80" s="139" t="s">
        <v>90</v>
      </c>
      <c r="E80" s="139" t="s">
        <v>90</v>
      </c>
      <c r="F80" s="882" t="str">
        <f t="shared" si="18"/>
        <v>-</v>
      </c>
      <c r="G80" s="153" t="str">
        <f t="shared" si="21"/>
        <v>-</v>
      </c>
      <c r="H80" s="323"/>
      <c r="I80" s="139" t="s">
        <v>90</v>
      </c>
      <c r="J80" s="1461"/>
      <c r="K80" s="1462"/>
      <c r="L80" s="1462"/>
      <c r="M80" s="1463"/>
      <c r="P80" s="699" t="s">
        <v>87</v>
      </c>
      <c r="Z80" s="699" t="s">
        <v>87</v>
      </c>
    </row>
    <row r="81" spans="1:26" x14ac:dyDescent="0.2">
      <c r="A81" s="879" t="s">
        <v>1029</v>
      </c>
      <c r="B81" s="883">
        <v>15</v>
      </c>
      <c r="C81" s="225"/>
      <c r="D81" s="225"/>
      <c r="E81" s="225"/>
      <c r="F81" s="885">
        <f>SUM(F83:F90)</f>
        <v>0</v>
      </c>
      <c r="G81" s="565">
        <f>SUM(G83:G90)</f>
        <v>0</v>
      </c>
      <c r="H81" s="225"/>
      <c r="I81" s="225"/>
      <c r="J81" s="1454"/>
      <c r="K81" s="1455"/>
      <c r="L81" s="1455"/>
      <c r="M81" s="1456"/>
      <c r="P81" s="699" t="s">
        <v>87</v>
      </c>
      <c r="Z81" s="699" t="s">
        <v>87</v>
      </c>
    </row>
    <row r="82" spans="1:26" x14ac:dyDescent="0.2">
      <c r="A82" s="880" t="s">
        <v>1040</v>
      </c>
      <c r="B82" s="169"/>
      <c r="C82" s="230"/>
      <c r="D82" s="230"/>
      <c r="E82" s="230"/>
      <c r="F82" s="230"/>
      <c r="G82" s="230"/>
      <c r="H82" s="230"/>
      <c r="I82" s="230"/>
      <c r="J82" s="1457"/>
      <c r="K82" s="1458"/>
      <c r="L82" s="1458"/>
      <c r="M82" s="1459"/>
      <c r="P82" s="699" t="s">
        <v>87</v>
      </c>
      <c r="Z82" s="699" t="s">
        <v>87</v>
      </c>
    </row>
    <row r="83" spans="1:26" x14ac:dyDescent="0.2">
      <c r="A83" s="287" t="s">
        <v>1043</v>
      </c>
      <c r="B83" s="169">
        <v>16</v>
      </c>
      <c r="C83" s="149" t="s">
        <v>90</v>
      </c>
      <c r="D83" s="149" t="s">
        <v>90</v>
      </c>
      <c r="E83" s="149" t="s">
        <v>90</v>
      </c>
      <c r="F83" s="282" t="str">
        <f t="shared" ref="F83:F90" si="22">IF(OR(C83&lt;&gt;"-",D83&lt;&gt;"-",E83&lt;&gt;"-"),MAX(0,SUM(C83)-SUM(D83)-SUM(E83)),"-")</f>
        <v>-</v>
      </c>
      <c r="G83" s="282" t="str">
        <f t="shared" ref="G83:G84" si="23">IF(OR(C83&lt;&gt;"-",D83&lt;&gt;"-"),MAX(0,SUM(C83)-SUM(D83)),"-")</f>
        <v>-</v>
      </c>
      <c r="H83" s="149" t="s">
        <v>90</v>
      </c>
      <c r="I83" s="742"/>
      <c r="J83" s="1460"/>
      <c r="K83" s="1458"/>
      <c r="L83" s="1458"/>
      <c r="M83" s="1459"/>
      <c r="P83" s="699" t="s">
        <v>87</v>
      </c>
      <c r="Z83" s="699" t="s">
        <v>87</v>
      </c>
    </row>
    <row r="84" spans="1:26" x14ac:dyDescent="0.2">
      <c r="A84" s="287" t="s">
        <v>1044</v>
      </c>
      <c r="B84" s="169">
        <v>17</v>
      </c>
      <c r="C84" s="139" t="s">
        <v>90</v>
      </c>
      <c r="D84" s="139" t="s">
        <v>90</v>
      </c>
      <c r="E84" s="139" t="s">
        <v>90</v>
      </c>
      <c r="F84" s="882" t="str">
        <f t="shared" si="22"/>
        <v>-</v>
      </c>
      <c r="G84" s="153" t="str">
        <f t="shared" si="23"/>
        <v>-</v>
      </c>
      <c r="H84" s="323"/>
      <c r="I84" s="139" t="s">
        <v>90</v>
      </c>
      <c r="J84" s="1460"/>
      <c r="K84" s="1458"/>
      <c r="L84" s="1458"/>
      <c r="M84" s="1459"/>
      <c r="P84" s="699" t="s">
        <v>87</v>
      </c>
      <c r="Z84" s="699" t="s">
        <v>87</v>
      </c>
    </row>
    <row r="85" spans="1:26" x14ac:dyDescent="0.2">
      <c r="A85" s="880" t="s">
        <v>1041</v>
      </c>
      <c r="B85" s="169"/>
      <c r="C85" s="230"/>
      <c r="D85" s="230"/>
      <c r="E85" s="230"/>
      <c r="F85" s="230"/>
      <c r="G85" s="230"/>
      <c r="H85" s="230"/>
      <c r="I85" s="230"/>
      <c r="J85" s="1457"/>
      <c r="K85" s="1458"/>
      <c r="L85" s="1458"/>
      <c r="M85" s="1459"/>
      <c r="P85" s="699" t="s">
        <v>87</v>
      </c>
      <c r="Z85" s="699" t="s">
        <v>87</v>
      </c>
    </row>
    <row r="86" spans="1:26" x14ac:dyDescent="0.2">
      <c r="A86" s="287" t="s">
        <v>1043</v>
      </c>
      <c r="B86" s="169">
        <v>18</v>
      </c>
      <c r="C86" s="149" t="s">
        <v>90</v>
      </c>
      <c r="D86" s="149" t="s">
        <v>90</v>
      </c>
      <c r="E86" s="149" t="s">
        <v>90</v>
      </c>
      <c r="F86" s="282" t="str">
        <f t="shared" si="22"/>
        <v>-</v>
      </c>
      <c r="G86" s="282" t="str">
        <f t="shared" ref="G86:G87" si="24">IF(OR(C86&lt;&gt;"-",D86&lt;&gt;"-"),MAX(0,SUM(C86)-SUM(D86)),"-")</f>
        <v>-</v>
      </c>
      <c r="H86" s="149" t="s">
        <v>90</v>
      </c>
      <c r="I86" s="742"/>
      <c r="J86" s="1460"/>
      <c r="K86" s="1458"/>
      <c r="L86" s="1458"/>
      <c r="M86" s="1459"/>
      <c r="P86" s="699" t="s">
        <v>87</v>
      </c>
      <c r="Z86" s="699" t="s">
        <v>87</v>
      </c>
    </row>
    <row r="87" spans="1:26" x14ac:dyDescent="0.2">
      <c r="A87" s="287" t="s">
        <v>1044</v>
      </c>
      <c r="B87" s="169">
        <v>19</v>
      </c>
      <c r="C87" s="139" t="s">
        <v>90</v>
      </c>
      <c r="D87" s="139" t="s">
        <v>90</v>
      </c>
      <c r="E87" s="139" t="s">
        <v>90</v>
      </c>
      <c r="F87" s="882" t="str">
        <f t="shared" si="22"/>
        <v>-</v>
      </c>
      <c r="G87" s="153" t="str">
        <f t="shared" si="24"/>
        <v>-</v>
      </c>
      <c r="H87" s="323"/>
      <c r="I87" s="139" t="s">
        <v>90</v>
      </c>
      <c r="J87" s="1460"/>
      <c r="K87" s="1458"/>
      <c r="L87" s="1458"/>
      <c r="M87" s="1459"/>
      <c r="P87" s="699" t="s">
        <v>87</v>
      </c>
      <c r="Z87" s="699" t="s">
        <v>87</v>
      </c>
    </row>
    <row r="88" spans="1:26" x14ac:dyDescent="0.2">
      <c r="A88" s="880" t="s">
        <v>1042</v>
      </c>
      <c r="B88" s="169"/>
      <c r="C88" s="230"/>
      <c r="D88" s="230"/>
      <c r="E88" s="230"/>
      <c r="F88" s="230"/>
      <c r="G88" s="230"/>
      <c r="H88" s="230"/>
      <c r="I88" s="230"/>
      <c r="J88" s="1457"/>
      <c r="K88" s="1458"/>
      <c r="L88" s="1458"/>
      <c r="M88" s="1459"/>
      <c r="P88" s="699" t="s">
        <v>87</v>
      </c>
      <c r="Z88" s="699" t="s">
        <v>87</v>
      </c>
    </row>
    <row r="89" spans="1:26" x14ac:dyDescent="0.2">
      <c r="A89" s="287" t="s">
        <v>1043</v>
      </c>
      <c r="B89" s="169">
        <v>20</v>
      </c>
      <c r="C89" s="149" t="s">
        <v>90</v>
      </c>
      <c r="D89" s="149" t="s">
        <v>90</v>
      </c>
      <c r="E89" s="149" t="s">
        <v>90</v>
      </c>
      <c r="F89" s="282" t="str">
        <f t="shared" si="22"/>
        <v>-</v>
      </c>
      <c r="G89" s="282" t="str">
        <f t="shared" ref="G89:G90" si="25">IF(OR(C89&lt;&gt;"-",D89&lt;&gt;"-"),MAX(0,SUM(C89)-SUM(D89)),"-")</f>
        <v>-</v>
      </c>
      <c r="H89" s="149" t="s">
        <v>90</v>
      </c>
      <c r="I89" s="742"/>
      <c r="J89" s="1460"/>
      <c r="K89" s="1458"/>
      <c r="L89" s="1458"/>
      <c r="M89" s="1459"/>
      <c r="P89" s="699" t="s">
        <v>87</v>
      </c>
      <c r="Z89" s="699" t="s">
        <v>87</v>
      </c>
    </row>
    <row r="90" spans="1:26" x14ac:dyDescent="0.2">
      <c r="A90" s="291" t="s">
        <v>1044</v>
      </c>
      <c r="B90" s="162">
        <v>21</v>
      </c>
      <c r="C90" s="139" t="s">
        <v>90</v>
      </c>
      <c r="D90" s="139" t="s">
        <v>90</v>
      </c>
      <c r="E90" s="139" t="s">
        <v>90</v>
      </c>
      <c r="F90" s="882" t="str">
        <f t="shared" si="22"/>
        <v>-</v>
      </c>
      <c r="G90" s="153" t="str">
        <f t="shared" si="25"/>
        <v>-</v>
      </c>
      <c r="H90" s="323"/>
      <c r="I90" s="139" t="s">
        <v>90</v>
      </c>
      <c r="J90" s="1461"/>
      <c r="K90" s="1462"/>
      <c r="L90" s="1462"/>
      <c r="M90" s="1463"/>
      <c r="P90" s="699" t="s">
        <v>87</v>
      </c>
      <c r="Z90" s="699" t="s">
        <v>87</v>
      </c>
    </row>
    <row r="91" spans="1:26" x14ac:dyDescent="0.2">
      <c r="A91" s="879" t="s">
        <v>1030</v>
      </c>
      <c r="B91" s="883">
        <v>22</v>
      </c>
      <c r="C91" s="225"/>
      <c r="D91" s="225"/>
      <c r="E91" s="225"/>
      <c r="F91" s="885">
        <f>SUM(F93:F100)</f>
        <v>0</v>
      </c>
      <c r="G91" s="565">
        <f>SUM(G93:G100)</f>
        <v>0</v>
      </c>
      <c r="H91" s="225"/>
      <c r="I91" s="225"/>
      <c r="J91" s="1454"/>
      <c r="K91" s="1455"/>
      <c r="L91" s="1455"/>
      <c r="M91" s="1456"/>
      <c r="P91" s="699" t="s">
        <v>87</v>
      </c>
      <c r="Z91" s="699" t="s">
        <v>87</v>
      </c>
    </row>
    <row r="92" spans="1:26" x14ac:dyDescent="0.2">
      <c r="A92" s="880" t="s">
        <v>1040</v>
      </c>
      <c r="B92" s="169"/>
      <c r="C92" s="230"/>
      <c r="D92" s="230"/>
      <c r="E92" s="230"/>
      <c r="F92" s="230"/>
      <c r="G92" s="230"/>
      <c r="H92" s="230"/>
      <c r="I92" s="230"/>
      <c r="J92" s="1457"/>
      <c r="K92" s="1458"/>
      <c r="L92" s="1458"/>
      <c r="M92" s="1459"/>
      <c r="P92" s="699" t="s">
        <v>87</v>
      </c>
      <c r="Z92" s="699" t="s">
        <v>87</v>
      </c>
    </row>
    <row r="93" spans="1:26" x14ac:dyDescent="0.2">
      <c r="A93" s="287" t="s">
        <v>1043</v>
      </c>
      <c r="B93" s="169">
        <v>23</v>
      </c>
      <c r="C93" s="149" t="s">
        <v>90</v>
      </c>
      <c r="D93" s="149" t="s">
        <v>90</v>
      </c>
      <c r="E93" s="149" t="s">
        <v>90</v>
      </c>
      <c r="F93" s="282" t="str">
        <f t="shared" ref="F93:F100" si="26">IF(OR(C93&lt;&gt;"-",D93&lt;&gt;"-",E93&lt;&gt;"-"),MAX(0,SUM(C93)-SUM(D93)-SUM(E93)),"-")</f>
        <v>-</v>
      </c>
      <c r="G93" s="282" t="str">
        <f t="shared" ref="G93:G94" si="27">IF(OR(C93&lt;&gt;"-",D93&lt;&gt;"-"),MAX(0,SUM(C93)-SUM(D93)),"-")</f>
        <v>-</v>
      </c>
      <c r="H93" s="149" t="s">
        <v>90</v>
      </c>
      <c r="I93" s="742"/>
      <c r="J93" s="1460"/>
      <c r="K93" s="1458"/>
      <c r="L93" s="1458"/>
      <c r="M93" s="1459"/>
      <c r="P93" s="699" t="s">
        <v>87</v>
      </c>
      <c r="Z93" s="699" t="s">
        <v>87</v>
      </c>
    </row>
    <row r="94" spans="1:26" x14ac:dyDescent="0.2">
      <c r="A94" s="287" t="s">
        <v>1044</v>
      </c>
      <c r="B94" s="169">
        <v>24</v>
      </c>
      <c r="C94" s="139" t="s">
        <v>90</v>
      </c>
      <c r="D94" s="139" t="s">
        <v>90</v>
      </c>
      <c r="E94" s="139" t="s">
        <v>90</v>
      </c>
      <c r="F94" s="882" t="str">
        <f t="shared" si="26"/>
        <v>-</v>
      </c>
      <c r="G94" s="153" t="str">
        <f t="shared" si="27"/>
        <v>-</v>
      </c>
      <c r="H94" s="323"/>
      <c r="I94" s="139" t="s">
        <v>90</v>
      </c>
      <c r="J94" s="1460"/>
      <c r="K94" s="1458"/>
      <c r="L94" s="1458"/>
      <c r="M94" s="1459"/>
      <c r="P94" s="699" t="s">
        <v>87</v>
      </c>
      <c r="Z94" s="699" t="s">
        <v>87</v>
      </c>
    </row>
    <row r="95" spans="1:26" x14ac:dyDescent="0.2">
      <c r="A95" s="880" t="s">
        <v>1041</v>
      </c>
      <c r="B95" s="169"/>
      <c r="C95" s="230"/>
      <c r="D95" s="230"/>
      <c r="E95" s="230"/>
      <c r="F95" s="230"/>
      <c r="G95" s="230"/>
      <c r="H95" s="230"/>
      <c r="I95" s="230"/>
      <c r="J95" s="1457"/>
      <c r="K95" s="1458"/>
      <c r="L95" s="1458"/>
      <c r="M95" s="1459"/>
      <c r="P95" s="699" t="s">
        <v>87</v>
      </c>
      <c r="Z95" s="699" t="s">
        <v>87</v>
      </c>
    </row>
    <row r="96" spans="1:26" x14ac:dyDescent="0.2">
      <c r="A96" s="287" t="s">
        <v>1043</v>
      </c>
      <c r="B96" s="169">
        <v>25</v>
      </c>
      <c r="C96" s="149" t="s">
        <v>90</v>
      </c>
      <c r="D96" s="149" t="s">
        <v>90</v>
      </c>
      <c r="E96" s="149" t="s">
        <v>90</v>
      </c>
      <c r="F96" s="282" t="str">
        <f t="shared" si="26"/>
        <v>-</v>
      </c>
      <c r="G96" s="282" t="str">
        <f t="shared" ref="G96:G97" si="28">IF(OR(C96&lt;&gt;"-",D96&lt;&gt;"-"),MAX(0,SUM(C96)-SUM(D96)),"-")</f>
        <v>-</v>
      </c>
      <c r="H96" s="149" t="s">
        <v>90</v>
      </c>
      <c r="I96" s="742"/>
      <c r="J96" s="1460"/>
      <c r="K96" s="1458"/>
      <c r="L96" s="1458"/>
      <c r="M96" s="1459"/>
      <c r="P96" s="699" t="s">
        <v>87</v>
      </c>
      <c r="Z96" s="699" t="s">
        <v>87</v>
      </c>
    </row>
    <row r="97" spans="1:26" x14ac:dyDescent="0.2">
      <c r="A97" s="287" t="s">
        <v>1044</v>
      </c>
      <c r="B97" s="169">
        <v>26</v>
      </c>
      <c r="C97" s="139" t="s">
        <v>90</v>
      </c>
      <c r="D97" s="139" t="s">
        <v>90</v>
      </c>
      <c r="E97" s="139" t="s">
        <v>90</v>
      </c>
      <c r="F97" s="882" t="str">
        <f t="shared" si="26"/>
        <v>-</v>
      </c>
      <c r="G97" s="153" t="str">
        <f t="shared" si="28"/>
        <v>-</v>
      </c>
      <c r="H97" s="323"/>
      <c r="I97" s="139" t="s">
        <v>90</v>
      </c>
      <c r="J97" s="1460"/>
      <c r="K97" s="1458"/>
      <c r="L97" s="1458"/>
      <c r="M97" s="1459"/>
      <c r="P97" s="699" t="s">
        <v>87</v>
      </c>
      <c r="Z97" s="699" t="s">
        <v>87</v>
      </c>
    </row>
    <row r="98" spans="1:26" x14ac:dyDescent="0.2">
      <c r="A98" s="880" t="s">
        <v>1042</v>
      </c>
      <c r="B98" s="169"/>
      <c r="C98" s="230"/>
      <c r="D98" s="230"/>
      <c r="E98" s="230"/>
      <c r="F98" s="230"/>
      <c r="G98" s="230"/>
      <c r="H98" s="230"/>
      <c r="I98" s="230"/>
      <c r="J98" s="1457"/>
      <c r="K98" s="1458"/>
      <c r="L98" s="1458"/>
      <c r="M98" s="1459"/>
      <c r="P98" s="699" t="s">
        <v>87</v>
      </c>
      <c r="Z98" s="699" t="s">
        <v>87</v>
      </c>
    </row>
    <row r="99" spans="1:26" x14ac:dyDescent="0.2">
      <c r="A99" s="287" t="s">
        <v>1043</v>
      </c>
      <c r="B99" s="169">
        <v>27</v>
      </c>
      <c r="C99" s="149" t="s">
        <v>90</v>
      </c>
      <c r="D99" s="149" t="s">
        <v>90</v>
      </c>
      <c r="E99" s="149" t="s">
        <v>90</v>
      </c>
      <c r="F99" s="282" t="str">
        <f t="shared" si="26"/>
        <v>-</v>
      </c>
      <c r="G99" s="282" t="str">
        <f t="shared" ref="G99:G100" si="29">IF(OR(C99&lt;&gt;"-",D99&lt;&gt;"-"),MAX(0,SUM(C99)-SUM(D99)),"-")</f>
        <v>-</v>
      </c>
      <c r="H99" s="149" t="s">
        <v>90</v>
      </c>
      <c r="I99" s="742"/>
      <c r="J99" s="1460"/>
      <c r="K99" s="1458"/>
      <c r="L99" s="1458"/>
      <c r="M99" s="1459"/>
      <c r="P99" s="699" t="s">
        <v>87</v>
      </c>
      <c r="Z99" s="699" t="s">
        <v>87</v>
      </c>
    </row>
    <row r="100" spans="1:26" x14ac:dyDescent="0.2">
      <c r="A100" s="291" t="s">
        <v>1044</v>
      </c>
      <c r="B100" s="162">
        <v>28</v>
      </c>
      <c r="C100" s="139" t="s">
        <v>90</v>
      </c>
      <c r="D100" s="139" t="s">
        <v>90</v>
      </c>
      <c r="E100" s="139" t="s">
        <v>90</v>
      </c>
      <c r="F100" s="882" t="str">
        <f t="shared" si="26"/>
        <v>-</v>
      </c>
      <c r="G100" s="153" t="str">
        <f t="shared" si="29"/>
        <v>-</v>
      </c>
      <c r="H100" s="323"/>
      <c r="I100" s="139" t="s">
        <v>90</v>
      </c>
      <c r="J100" s="1461"/>
      <c r="K100" s="1462"/>
      <c r="L100" s="1462"/>
      <c r="M100" s="1463"/>
      <c r="P100" s="699" t="s">
        <v>87</v>
      </c>
      <c r="Z100" s="699" t="s">
        <v>87</v>
      </c>
    </row>
    <row r="101" spans="1:26" x14ac:dyDescent="0.2">
      <c r="P101" s="699" t="s">
        <v>87</v>
      </c>
      <c r="Z101" s="699" t="s">
        <v>87</v>
      </c>
    </row>
    <row r="102" spans="1:26" ht="14.25" x14ac:dyDescent="0.2">
      <c r="A102" s="874" t="s">
        <v>1034</v>
      </c>
      <c r="B102" s="875"/>
      <c r="C102" s="864" t="s">
        <v>1016</v>
      </c>
      <c r="F102" s="328" t="s">
        <v>1017</v>
      </c>
      <c r="G102" s="331"/>
      <c r="P102" s="699" t="s">
        <v>87</v>
      </c>
      <c r="Z102" s="699" t="s">
        <v>87</v>
      </c>
    </row>
    <row r="103" spans="1:26" ht="63.75" x14ac:dyDescent="0.2">
      <c r="A103" s="876" t="s">
        <v>722</v>
      </c>
      <c r="B103" s="877"/>
      <c r="C103" s="278" t="s">
        <v>1019</v>
      </c>
      <c r="D103" s="278" t="s">
        <v>1035</v>
      </c>
      <c r="E103" s="278" t="s">
        <v>990</v>
      </c>
      <c r="F103" s="278" t="s">
        <v>691</v>
      </c>
      <c r="G103" s="278" t="s">
        <v>690</v>
      </c>
      <c r="H103" s="278" t="s">
        <v>1036</v>
      </c>
      <c r="I103" s="278" t="s">
        <v>1037</v>
      </c>
      <c r="J103" s="1432" t="s">
        <v>1038</v>
      </c>
      <c r="K103" s="1433"/>
      <c r="L103" s="1433"/>
      <c r="M103" s="1434"/>
      <c r="P103" s="699" t="s">
        <v>87</v>
      </c>
      <c r="Z103" s="699" t="s">
        <v>87</v>
      </c>
    </row>
    <row r="104" spans="1:26" ht="14.25" x14ac:dyDescent="0.2">
      <c r="A104" s="878"/>
      <c r="B104" s="124">
        <v>83</v>
      </c>
      <c r="C104" s="105">
        <v>1</v>
      </c>
      <c r="D104" s="105">
        <v>2</v>
      </c>
      <c r="E104" s="105">
        <v>3</v>
      </c>
      <c r="F104" s="167" t="s">
        <v>1021</v>
      </c>
      <c r="G104" s="214" t="s">
        <v>1022</v>
      </c>
      <c r="H104" s="167">
        <v>6</v>
      </c>
      <c r="I104" s="167">
        <v>7</v>
      </c>
      <c r="J104" s="1465">
        <v>8</v>
      </c>
      <c r="K104" s="1465"/>
      <c r="L104" s="1465"/>
      <c r="M104" s="1466"/>
      <c r="P104" s="699" t="s">
        <v>87</v>
      </c>
      <c r="Z104" s="699" t="s">
        <v>87</v>
      </c>
    </row>
    <row r="105" spans="1:26" x14ac:dyDescent="0.2">
      <c r="A105" s="879" t="s">
        <v>1026</v>
      </c>
      <c r="B105" s="169">
        <v>1</v>
      </c>
      <c r="C105" s="225"/>
      <c r="D105" s="225"/>
      <c r="E105" s="225"/>
      <c r="F105" s="565">
        <f>SUM(F106:F108)</f>
        <v>0</v>
      </c>
      <c r="G105" s="565">
        <f>SUM(G106:G108)</f>
        <v>0</v>
      </c>
      <c r="H105" s="225"/>
      <c r="I105" s="225"/>
      <c r="J105" s="1454" t="s">
        <v>1039</v>
      </c>
      <c r="K105" s="1455"/>
      <c r="L105" s="1455"/>
      <c r="M105" s="1456"/>
      <c r="P105" s="699" t="s">
        <v>87</v>
      </c>
      <c r="Z105" s="699" t="s">
        <v>87</v>
      </c>
    </row>
    <row r="106" spans="1:26" x14ac:dyDescent="0.2">
      <c r="A106" s="880" t="s">
        <v>1040</v>
      </c>
      <c r="B106" s="169">
        <v>2</v>
      </c>
      <c r="C106" s="149" t="s">
        <v>90</v>
      </c>
      <c r="D106" s="149" t="s">
        <v>90</v>
      </c>
      <c r="E106" s="149" t="s">
        <v>90</v>
      </c>
      <c r="F106" s="282" t="str">
        <f t="shared" ref="F106:F112" si="30">IF(OR(C106&lt;&gt;"-",D106&lt;&gt;"-",E106&lt;&gt;"-"),MAX(0,SUM(C106)-SUM(D106)-SUM(E106)),"-")</f>
        <v>-</v>
      </c>
      <c r="G106" s="282" t="str">
        <f t="shared" ref="G106:G108" si="31">IF(OR(C106&lt;&gt;"-",D106&lt;&gt;"-"),MAX(0,SUM(C106)-SUM(D106)),"-")</f>
        <v>-</v>
      </c>
      <c r="H106" s="149" t="s">
        <v>90</v>
      </c>
      <c r="I106" s="230"/>
      <c r="J106" s="1460"/>
      <c r="K106" s="1458"/>
      <c r="L106" s="1458"/>
      <c r="M106" s="1459"/>
      <c r="P106" s="699" t="s">
        <v>87</v>
      </c>
      <c r="Z106" s="699" t="s">
        <v>87</v>
      </c>
    </row>
    <row r="107" spans="1:26" x14ac:dyDescent="0.2">
      <c r="A107" s="880" t="s">
        <v>1041</v>
      </c>
      <c r="B107" s="169">
        <v>3</v>
      </c>
      <c r="C107" s="137" t="s">
        <v>90</v>
      </c>
      <c r="D107" s="137" t="s">
        <v>90</v>
      </c>
      <c r="E107" s="137" t="s">
        <v>90</v>
      </c>
      <c r="F107" s="152" t="str">
        <f t="shared" si="30"/>
        <v>-</v>
      </c>
      <c r="G107" s="285" t="str">
        <f t="shared" si="31"/>
        <v>-</v>
      </c>
      <c r="H107" s="137" t="s">
        <v>90</v>
      </c>
      <c r="I107" s="230"/>
      <c r="J107" s="1460"/>
      <c r="K107" s="1458"/>
      <c r="L107" s="1458"/>
      <c r="M107" s="1459"/>
      <c r="P107" s="699" t="s">
        <v>87</v>
      </c>
      <c r="Z107" s="699" t="s">
        <v>87</v>
      </c>
    </row>
    <row r="108" spans="1:26" x14ac:dyDescent="0.2">
      <c r="A108" s="881" t="s">
        <v>1042</v>
      </c>
      <c r="B108" s="162">
        <v>4</v>
      </c>
      <c r="C108" s="139" t="s">
        <v>90</v>
      </c>
      <c r="D108" s="139" t="s">
        <v>90</v>
      </c>
      <c r="E108" s="139" t="s">
        <v>90</v>
      </c>
      <c r="F108" s="882" t="str">
        <f t="shared" si="30"/>
        <v>-</v>
      </c>
      <c r="G108" s="153" t="str">
        <f t="shared" si="31"/>
        <v>-</v>
      </c>
      <c r="H108" s="139" t="s">
        <v>90</v>
      </c>
      <c r="I108" s="323"/>
      <c r="J108" s="1461"/>
      <c r="K108" s="1462"/>
      <c r="L108" s="1462"/>
      <c r="M108" s="1463"/>
      <c r="P108" s="699" t="s">
        <v>87</v>
      </c>
      <c r="Z108" s="699" t="s">
        <v>87</v>
      </c>
    </row>
    <row r="109" spans="1:26" x14ac:dyDescent="0.2">
      <c r="A109" s="879" t="s">
        <v>1027</v>
      </c>
      <c r="B109" s="883"/>
      <c r="C109" s="884"/>
      <c r="D109" s="884"/>
      <c r="E109" s="884"/>
      <c r="F109" s="885">
        <f>SUM(F110:F112)</f>
        <v>0</v>
      </c>
      <c r="G109" s="886">
        <f>SUM(G110:G112)</f>
        <v>0</v>
      </c>
      <c r="H109" s="884"/>
      <c r="I109" s="884"/>
      <c r="J109" s="1454" t="s">
        <v>1039</v>
      </c>
      <c r="K109" s="1455"/>
      <c r="L109" s="1455"/>
      <c r="M109" s="1456"/>
      <c r="P109" s="699" t="s">
        <v>87</v>
      </c>
      <c r="Z109" s="699" t="s">
        <v>87</v>
      </c>
    </row>
    <row r="110" spans="1:26" x14ac:dyDescent="0.2">
      <c r="A110" s="880" t="s">
        <v>1040</v>
      </c>
      <c r="B110" s="169">
        <v>5</v>
      </c>
      <c r="C110" s="149" t="s">
        <v>90</v>
      </c>
      <c r="D110" s="149" t="s">
        <v>90</v>
      </c>
      <c r="E110" s="149" t="s">
        <v>90</v>
      </c>
      <c r="F110" s="282" t="str">
        <f t="shared" si="30"/>
        <v>-</v>
      </c>
      <c r="G110" s="282" t="str">
        <f t="shared" ref="G110:G112" si="32">IF(OR(C110&lt;&gt;"-",D110&lt;&gt;"-"),MAX(0,SUM(C110)-SUM(D110)),"-")</f>
        <v>-</v>
      </c>
      <c r="H110" s="149" t="s">
        <v>90</v>
      </c>
      <c r="I110" s="230"/>
      <c r="J110" s="1460"/>
      <c r="K110" s="1458"/>
      <c r="L110" s="1458"/>
      <c r="M110" s="1459"/>
      <c r="P110" s="699" t="s">
        <v>87</v>
      </c>
      <c r="Z110" s="699" t="s">
        <v>87</v>
      </c>
    </row>
    <row r="111" spans="1:26" x14ac:dyDescent="0.2">
      <c r="A111" s="880" t="s">
        <v>1041</v>
      </c>
      <c r="B111" s="169">
        <v>6</v>
      </c>
      <c r="C111" s="137" t="s">
        <v>90</v>
      </c>
      <c r="D111" s="137" t="s">
        <v>90</v>
      </c>
      <c r="E111" s="137" t="s">
        <v>90</v>
      </c>
      <c r="F111" s="152" t="str">
        <f t="shared" si="30"/>
        <v>-</v>
      </c>
      <c r="G111" s="285" t="str">
        <f t="shared" si="32"/>
        <v>-</v>
      </c>
      <c r="H111" s="137" t="s">
        <v>90</v>
      </c>
      <c r="I111" s="230"/>
      <c r="J111" s="1460"/>
      <c r="K111" s="1458"/>
      <c r="L111" s="1458"/>
      <c r="M111" s="1459"/>
      <c r="P111" s="699" t="s">
        <v>87</v>
      </c>
      <c r="Z111" s="699" t="s">
        <v>87</v>
      </c>
    </row>
    <row r="112" spans="1:26" x14ac:dyDescent="0.2">
      <c r="A112" s="881" t="s">
        <v>1042</v>
      </c>
      <c r="B112" s="162">
        <v>7</v>
      </c>
      <c r="C112" s="139" t="s">
        <v>90</v>
      </c>
      <c r="D112" s="139" t="s">
        <v>90</v>
      </c>
      <c r="E112" s="139" t="s">
        <v>90</v>
      </c>
      <c r="F112" s="882" t="str">
        <f t="shared" si="30"/>
        <v>-</v>
      </c>
      <c r="G112" s="153" t="str">
        <f t="shared" si="32"/>
        <v>-</v>
      </c>
      <c r="H112" s="139" t="s">
        <v>90</v>
      </c>
      <c r="I112" s="323"/>
      <c r="J112" s="1461"/>
      <c r="K112" s="1462"/>
      <c r="L112" s="1462"/>
      <c r="M112" s="1463"/>
      <c r="P112" s="699" t="s">
        <v>87</v>
      </c>
      <c r="Z112" s="699" t="s">
        <v>87</v>
      </c>
    </row>
    <row r="113" spans="1:26" x14ac:dyDescent="0.2">
      <c r="A113" s="879" t="s">
        <v>1028</v>
      </c>
      <c r="B113" s="883">
        <v>8</v>
      </c>
      <c r="C113" s="225"/>
      <c r="D113" s="225"/>
      <c r="E113" s="225"/>
      <c r="F113" s="885">
        <f>SUM(F115:F122)</f>
        <v>0</v>
      </c>
      <c r="G113" s="565">
        <f>SUM(G115:G122)</f>
        <v>0</v>
      </c>
      <c r="H113" s="225"/>
      <c r="I113" s="225"/>
      <c r="J113" s="1454"/>
      <c r="K113" s="1455"/>
      <c r="L113" s="1455"/>
      <c r="M113" s="1456"/>
      <c r="P113" s="699" t="s">
        <v>87</v>
      </c>
      <c r="Z113" s="699" t="s">
        <v>87</v>
      </c>
    </row>
    <row r="114" spans="1:26" x14ac:dyDescent="0.2">
      <c r="A114" s="880" t="s">
        <v>1040</v>
      </c>
      <c r="B114" s="169"/>
      <c r="C114" s="230"/>
      <c r="D114" s="230"/>
      <c r="E114" s="230"/>
      <c r="F114" s="230"/>
      <c r="G114" s="230"/>
      <c r="H114" s="230"/>
      <c r="I114" s="230"/>
      <c r="J114" s="1457"/>
      <c r="K114" s="1458"/>
      <c r="L114" s="1458"/>
      <c r="M114" s="1459"/>
      <c r="P114" s="699" t="s">
        <v>87</v>
      </c>
      <c r="Z114" s="699" t="s">
        <v>87</v>
      </c>
    </row>
    <row r="115" spans="1:26" x14ac:dyDescent="0.2">
      <c r="A115" s="287" t="s">
        <v>1043</v>
      </c>
      <c r="B115" s="169">
        <v>9</v>
      </c>
      <c r="C115" s="149" t="s">
        <v>90</v>
      </c>
      <c r="D115" s="149" t="s">
        <v>90</v>
      </c>
      <c r="E115" s="149" t="s">
        <v>90</v>
      </c>
      <c r="F115" s="282" t="str">
        <f t="shared" ref="F115:F122" si="33">IF(OR(C115&lt;&gt;"-",D115&lt;&gt;"-",E115&lt;&gt;"-"),MAX(0,SUM(C115)-SUM(D115)-SUM(E115)),"-")</f>
        <v>-</v>
      </c>
      <c r="G115" s="282" t="str">
        <f t="shared" ref="G115:G116" si="34">IF(OR(C115&lt;&gt;"-",D115&lt;&gt;"-"),MAX(0,SUM(C115)-SUM(D115)),"-")</f>
        <v>-</v>
      </c>
      <c r="H115" s="149" t="s">
        <v>90</v>
      </c>
      <c r="I115" s="742"/>
      <c r="J115" s="1460"/>
      <c r="K115" s="1458"/>
      <c r="L115" s="1458"/>
      <c r="M115" s="1459"/>
      <c r="P115" s="699" t="s">
        <v>87</v>
      </c>
      <c r="Z115" s="699" t="s">
        <v>87</v>
      </c>
    </row>
    <row r="116" spans="1:26" x14ac:dyDescent="0.2">
      <c r="A116" s="287" t="s">
        <v>1044</v>
      </c>
      <c r="B116" s="169">
        <v>10</v>
      </c>
      <c r="C116" s="139" t="s">
        <v>90</v>
      </c>
      <c r="D116" s="139" t="s">
        <v>90</v>
      </c>
      <c r="E116" s="139" t="s">
        <v>90</v>
      </c>
      <c r="F116" s="882" t="str">
        <f t="shared" si="33"/>
        <v>-</v>
      </c>
      <c r="G116" s="153" t="str">
        <f t="shared" si="34"/>
        <v>-</v>
      </c>
      <c r="H116" s="323"/>
      <c r="I116" s="139" t="s">
        <v>90</v>
      </c>
      <c r="J116" s="1460"/>
      <c r="K116" s="1458"/>
      <c r="L116" s="1458"/>
      <c r="M116" s="1459"/>
      <c r="P116" s="699" t="s">
        <v>87</v>
      </c>
      <c r="Z116" s="699" t="s">
        <v>87</v>
      </c>
    </row>
    <row r="117" spans="1:26" x14ac:dyDescent="0.2">
      <c r="A117" s="880" t="s">
        <v>1041</v>
      </c>
      <c r="B117" s="169"/>
      <c r="C117" s="230"/>
      <c r="D117" s="230"/>
      <c r="E117" s="230"/>
      <c r="F117" s="230"/>
      <c r="G117" s="230"/>
      <c r="H117" s="230"/>
      <c r="I117" s="230"/>
      <c r="J117" s="1457"/>
      <c r="K117" s="1458"/>
      <c r="L117" s="1458"/>
      <c r="M117" s="1459"/>
      <c r="P117" s="699" t="s">
        <v>87</v>
      </c>
      <c r="Z117" s="699" t="s">
        <v>87</v>
      </c>
    </row>
    <row r="118" spans="1:26" x14ac:dyDescent="0.2">
      <c r="A118" s="287" t="s">
        <v>1043</v>
      </c>
      <c r="B118" s="169">
        <v>11</v>
      </c>
      <c r="C118" s="149" t="s">
        <v>90</v>
      </c>
      <c r="D118" s="149" t="s">
        <v>90</v>
      </c>
      <c r="E118" s="149" t="s">
        <v>90</v>
      </c>
      <c r="F118" s="282" t="str">
        <f t="shared" si="33"/>
        <v>-</v>
      </c>
      <c r="G118" s="282" t="str">
        <f t="shared" ref="G118:G119" si="35">IF(OR(C118&lt;&gt;"-",D118&lt;&gt;"-"),MAX(0,SUM(C118)-SUM(D118)),"-")</f>
        <v>-</v>
      </c>
      <c r="H118" s="149" t="s">
        <v>90</v>
      </c>
      <c r="I118" s="742"/>
      <c r="J118" s="1460"/>
      <c r="K118" s="1458"/>
      <c r="L118" s="1458"/>
      <c r="M118" s="1459"/>
      <c r="P118" s="699" t="s">
        <v>87</v>
      </c>
      <c r="Z118" s="699" t="s">
        <v>87</v>
      </c>
    </row>
    <row r="119" spans="1:26" x14ac:dyDescent="0.2">
      <c r="A119" s="287" t="s">
        <v>1044</v>
      </c>
      <c r="B119" s="169">
        <v>12</v>
      </c>
      <c r="C119" s="139" t="s">
        <v>90</v>
      </c>
      <c r="D119" s="139" t="s">
        <v>90</v>
      </c>
      <c r="E119" s="139" t="s">
        <v>90</v>
      </c>
      <c r="F119" s="882" t="str">
        <f t="shared" si="33"/>
        <v>-</v>
      </c>
      <c r="G119" s="153" t="str">
        <f t="shared" si="35"/>
        <v>-</v>
      </c>
      <c r="H119" s="323"/>
      <c r="I119" s="139" t="s">
        <v>90</v>
      </c>
      <c r="J119" s="1460"/>
      <c r="K119" s="1458"/>
      <c r="L119" s="1458"/>
      <c r="M119" s="1459"/>
      <c r="P119" s="699" t="s">
        <v>87</v>
      </c>
      <c r="Z119" s="699" t="s">
        <v>87</v>
      </c>
    </row>
    <row r="120" spans="1:26" x14ac:dyDescent="0.2">
      <c r="A120" s="880" t="s">
        <v>1042</v>
      </c>
      <c r="B120" s="169"/>
      <c r="C120" s="230"/>
      <c r="D120" s="230"/>
      <c r="E120" s="230"/>
      <c r="F120" s="230"/>
      <c r="G120" s="230"/>
      <c r="H120" s="230"/>
      <c r="I120" s="230"/>
      <c r="J120" s="1457"/>
      <c r="K120" s="1458"/>
      <c r="L120" s="1458"/>
      <c r="M120" s="1459"/>
      <c r="P120" s="699" t="s">
        <v>87</v>
      </c>
      <c r="Z120" s="699" t="s">
        <v>87</v>
      </c>
    </row>
    <row r="121" spans="1:26" x14ac:dyDescent="0.2">
      <c r="A121" s="287" t="s">
        <v>1043</v>
      </c>
      <c r="B121" s="169">
        <v>13</v>
      </c>
      <c r="C121" s="149" t="s">
        <v>90</v>
      </c>
      <c r="D121" s="149" t="s">
        <v>90</v>
      </c>
      <c r="E121" s="149" t="s">
        <v>90</v>
      </c>
      <c r="F121" s="282" t="str">
        <f t="shared" si="33"/>
        <v>-</v>
      </c>
      <c r="G121" s="282" t="str">
        <f t="shared" ref="G121:G122" si="36">IF(OR(C121&lt;&gt;"-",D121&lt;&gt;"-"),MAX(0,SUM(C121)-SUM(D121)),"-")</f>
        <v>-</v>
      </c>
      <c r="H121" s="149" t="s">
        <v>90</v>
      </c>
      <c r="I121" s="742"/>
      <c r="J121" s="1460"/>
      <c r="K121" s="1458"/>
      <c r="L121" s="1458"/>
      <c r="M121" s="1459"/>
      <c r="P121" s="699" t="s">
        <v>87</v>
      </c>
      <c r="Z121" s="699" t="s">
        <v>87</v>
      </c>
    </row>
    <row r="122" spans="1:26" x14ac:dyDescent="0.2">
      <c r="A122" s="291" t="s">
        <v>1044</v>
      </c>
      <c r="B122" s="162">
        <v>14</v>
      </c>
      <c r="C122" s="139" t="s">
        <v>90</v>
      </c>
      <c r="D122" s="139" t="s">
        <v>90</v>
      </c>
      <c r="E122" s="139" t="s">
        <v>90</v>
      </c>
      <c r="F122" s="882" t="str">
        <f t="shared" si="33"/>
        <v>-</v>
      </c>
      <c r="G122" s="153" t="str">
        <f t="shared" si="36"/>
        <v>-</v>
      </c>
      <c r="H122" s="323"/>
      <c r="I122" s="139" t="s">
        <v>90</v>
      </c>
      <c r="J122" s="1461"/>
      <c r="K122" s="1462"/>
      <c r="L122" s="1462"/>
      <c r="M122" s="1463"/>
      <c r="P122" s="699" t="s">
        <v>87</v>
      </c>
      <c r="Z122" s="699" t="s">
        <v>87</v>
      </c>
    </row>
    <row r="123" spans="1:26" x14ac:dyDescent="0.2">
      <c r="A123" s="879" t="s">
        <v>1029</v>
      </c>
      <c r="B123" s="883">
        <v>15</v>
      </c>
      <c r="C123" s="225"/>
      <c r="D123" s="225"/>
      <c r="E123" s="225"/>
      <c r="F123" s="885">
        <f>SUM(F125:F132)</f>
        <v>0</v>
      </c>
      <c r="G123" s="565">
        <f>SUM(G125:G132)</f>
        <v>0</v>
      </c>
      <c r="H123" s="225"/>
      <c r="I123" s="225"/>
      <c r="J123" s="1454"/>
      <c r="K123" s="1455"/>
      <c r="L123" s="1455"/>
      <c r="M123" s="1456"/>
      <c r="P123" s="699" t="s">
        <v>87</v>
      </c>
      <c r="Z123" s="699" t="s">
        <v>87</v>
      </c>
    </row>
    <row r="124" spans="1:26" x14ac:dyDescent="0.2">
      <c r="A124" s="880" t="s">
        <v>1040</v>
      </c>
      <c r="B124" s="169"/>
      <c r="C124" s="230"/>
      <c r="D124" s="230"/>
      <c r="E124" s="230"/>
      <c r="F124" s="230"/>
      <c r="G124" s="230"/>
      <c r="H124" s="230"/>
      <c r="I124" s="230"/>
      <c r="J124" s="1457"/>
      <c r="K124" s="1458"/>
      <c r="L124" s="1458"/>
      <c r="M124" s="1459"/>
      <c r="P124" s="699" t="s">
        <v>87</v>
      </c>
      <c r="Z124" s="699" t="s">
        <v>87</v>
      </c>
    </row>
    <row r="125" spans="1:26" x14ac:dyDescent="0.2">
      <c r="A125" s="287" t="s">
        <v>1043</v>
      </c>
      <c r="B125" s="169">
        <v>16</v>
      </c>
      <c r="C125" s="149" t="s">
        <v>90</v>
      </c>
      <c r="D125" s="149" t="s">
        <v>90</v>
      </c>
      <c r="E125" s="149" t="s">
        <v>90</v>
      </c>
      <c r="F125" s="282" t="str">
        <f t="shared" ref="F125:F132" si="37">IF(OR(C125&lt;&gt;"-",D125&lt;&gt;"-",E125&lt;&gt;"-"),MAX(0,SUM(C125)-SUM(D125)-SUM(E125)),"-")</f>
        <v>-</v>
      </c>
      <c r="G125" s="282" t="str">
        <f t="shared" ref="G125:G126" si="38">IF(OR(C125&lt;&gt;"-",D125&lt;&gt;"-"),MAX(0,SUM(C125)-SUM(D125)),"-")</f>
        <v>-</v>
      </c>
      <c r="H125" s="149" t="s">
        <v>90</v>
      </c>
      <c r="I125" s="742"/>
      <c r="J125" s="1460"/>
      <c r="K125" s="1458"/>
      <c r="L125" s="1458"/>
      <c r="M125" s="1459"/>
      <c r="P125" s="699" t="s">
        <v>87</v>
      </c>
      <c r="Z125" s="699" t="s">
        <v>87</v>
      </c>
    </row>
    <row r="126" spans="1:26" x14ac:dyDescent="0.2">
      <c r="A126" s="287" t="s">
        <v>1044</v>
      </c>
      <c r="B126" s="169">
        <v>17</v>
      </c>
      <c r="C126" s="139" t="s">
        <v>90</v>
      </c>
      <c r="D126" s="139" t="s">
        <v>90</v>
      </c>
      <c r="E126" s="139" t="s">
        <v>90</v>
      </c>
      <c r="F126" s="882" t="str">
        <f t="shared" si="37"/>
        <v>-</v>
      </c>
      <c r="G126" s="153" t="str">
        <f t="shared" si="38"/>
        <v>-</v>
      </c>
      <c r="H126" s="323"/>
      <c r="I126" s="139" t="s">
        <v>90</v>
      </c>
      <c r="J126" s="1460"/>
      <c r="K126" s="1458"/>
      <c r="L126" s="1458"/>
      <c r="M126" s="1459"/>
      <c r="P126" s="699" t="s">
        <v>87</v>
      </c>
      <c r="Z126" s="699" t="s">
        <v>87</v>
      </c>
    </row>
    <row r="127" spans="1:26" x14ac:dyDescent="0.2">
      <c r="A127" s="880" t="s">
        <v>1041</v>
      </c>
      <c r="B127" s="169"/>
      <c r="C127" s="230"/>
      <c r="D127" s="230"/>
      <c r="E127" s="230"/>
      <c r="F127" s="230"/>
      <c r="G127" s="230"/>
      <c r="H127" s="230"/>
      <c r="I127" s="230"/>
      <c r="J127" s="1457"/>
      <c r="K127" s="1458"/>
      <c r="L127" s="1458"/>
      <c r="M127" s="1459"/>
      <c r="P127" s="699" t="s">
        <v>87</v>
      </c>
      <c r="Z127" s="699" t="s">
        <v>87</v>
      </c>
    </row>
    <row r="128" spans="1:26" x14ac:dyDescent="0.2">
      <c r="A128" s="287" t="s">
        <v>1043</v>
      </c>
      <c r="B128" s="169">
        <v>18</v>
      </c>
      <c r="C128" s="149" t="s">
        <v>90</v>
      </c>
      <c r="D128" s="149" t="s">
        <v>90</v>
      </c>
      <c r="E128" s="149" t="s">
        <v>90</v>
      </c>
      <c r="F128" s="282" t="str">
        <f t="shared" si="37"/>
        <v>-</v>
      </c>
      <c r="G128" s="282" t="str">
        <f t="shared" ref="G128:G129" si="39">IF(OR(C128&lt;&gt;"-",D128&lt;&gt;"-"),MAX(0,SUM(C128)-SUM(D128)),"-")</f>
        <v>-</v>
      </c>
      <c r="H128" s="149" t="s">
        <v>90</v>
      </c>
      <c r="I128" s="742"/>
      <c r="J128" s="1460"/>
      <c r="K128" s="1458"/>
      <c r="L128" s="1458"/>
      <c r="M128" s="1459"/>
      <c r="P128" s="699" t="s">
        <v>87</v>
      </c>
      <c r="Z128" s="699" t="s">
        <v>87</v>
      </c>
    </row>
    <row r="129" spans="1:26" x14ac:dyDescent="0.2">
      <c r="A129" s="287" t="s">
        <v>1044</v>
      </c>
      <c r="B129" s="169">
        <v>19</v>
      </c>
      <c r="C129" s="139" t="s">
        <v>90</v>
      </c>
      <c r="D129" s="139" t="s">
        <v>90</v>
      </c>
      <c r="E129" s="139" t="s">
        <v>90</v>
      </c>
      <c r="F129" s="882" t="str">
        <f t="shared" si="37"/>
        <v>-</v>
      </c>
      <c r="G129" s="153" t="str">
        <f t="shared" si="39"/>
        <v>-</v>
      </c>
      <c r="H129" s="323"/>
      <c r="I129" s="139" t="s">
        <v>90</v>
      </c>
      <c r="J129" s="1460"/>
      <c r="K129" s="1458"/>
      <c r="L129" s="1458"/>
      <c r="M129" s="1459"/>
      <c r="P129" s="699" t="s">
        <v>87</v>
      </c>
      <c r="Z129" s="699" t="s">
        <v>87</v>
      </c>
    </row>
    <row r="130" spans="1:26" x14ac:dyDescent="0.2">
      <c r="A130" s="880" t="s">
        <v>1042</v>
      </c>
      <c r="B130" s="169"/>
      <c r="C130" s="230"/>
      <c r="D130" s="230"/>
      <c r="E130" s="230"/>
      <c r="F130" s="230"/>
      <c r="G130" s="230"/>
      <c r="H130" s="230"/>
      <c r="I130" s="230"/>
      <c r="J130" s="1457"/>
      <c r="K130" s="1458"/>
      <c r="L130" s="1458"/>
      <c r="M130" s="1459"/>
      <c r="P130" s="699" t="s">
        <v>87</v>
      </c>
      <c r="Z130" s="699" t="s">
        <v>87</v>
      </c>
    </row>
    <row r="131" spans="1:26" x14ac:dyDescent="0.2">
      <c r="A131" s="287" t="s">
        <v>1043</v>
      </c>
      <c r="B131" s="169">
        <v>20</v>
      </c>
      <c r="C131" s="149" t="s">
        <v>90</v>
      </c>
      <c r="D131" s="149" t="s">
        <v>90</v>
      </c>
      <c r="E131" s="149" t="s">
        <v>90</v>
      </c>
      <c r="F131" s="282" t="str">
        <f t="shared" si="37"/>
        <v>-</v>
      </c>
      <c r="G131" s="282" t="str">
        <f t="shared" ref="G131:G132" si="40">IF(OR(C131&lt;&gt;"-",D131&lt;&gt;"-"),MAX(0,SUM(C131)-SUM(D131)),"-")</f>
        <v>-</v>
      </c>
      <c r="H131" s="149" t="s">
        <v>90</v>
      </c>
      <c r="I131" s="742"/>
      <c r="J131" s="1460"/>
      <c r="K131" s="1458"/>
      <c r="L131" s="1458"/>
      <c r="M131" s="1459"/>
      <c r="P131" s="699" t="s">
        <v>87</v>
      </c>
      <c r="Z131" s="699" t="s">
        <v>87</v>
      </c>
    </row>
    <row r="132" spans="1:26" x14ac:dyDescent="0.2">
      <c r="A132" s="291" t="s">
        <v>1044</v>
      </c>
      <c r="B132" s="162">
        <v>21</v>
      </c>
      <c r="C132" s="139" t="s">
        <v>90</v>
      </c>
      <c r="D132" s="139" t="s">
        <v>90</v>
      </c>
      <c r="E132" s="139" t="s">
        <v>90</v>
      </c>
      <c r="F132" s="882" t="str">
        <f t="shared" si="37"/>
        <v>-</v>
      </c>
      <c r="G132" s="153" t="str">
        <f t="shared" si="40"/>
        <v>-</v>
      </c>
      <c r="H132" s="323"/>
      <c r="I132" s="139" t="s">
        <v>90</v>
      </c>
      <c r="J132" s="1461"/>
      <c r="K132" s="1462"/>
      <c r="L132" s="1462"/>
      <c r="M132" s="1463"/>
      <c r="P132" s="699" t="s">
        <v>87</v>
      </c>
      <c r="Z132" s="699" t="s">
        <v>87</v>
      </c>
    </row>
    <row r="133" spans="1:26" x14ac:dyDescent="0.2">
      <c r="A133" s="879" t="s">
        <v>1030</v>
      </c>
      <c r="B133" s="883">
        <v>22</v>
      </c>
      <c r="C133" s="225"/>
      <c r="D133" s="225"/>
      <c r="E133" s="225"/>
      <c r="F133" s="885">
        <f>SUM(F135:F142)</f>
        <v>0</v>
      </c>
      <c r="G133" s="565">
        <f>SUM(G135:G142)</f>
        <v>0</v>
      </c>
      <c r="H133" s="225"/>
      <c r="I133" s="225"/>
      <c r="J133" s="1454"/>
      <c r="K133" s="1455"/>
      <c r="L133" s="1455"/>
      <c r="M133" s="1456"/>
      <c r="P133" s="699" t="s">
        <v>87</v>
      </c>
      <c r="Z133" s="699" t="s">
        <v>87</v>
      </c>
    </row>
    <row r="134" spans="1:26" x14ac:dyDescent="0.2">
      <c r="A134" s="880" t="s">
        <v>1040</v>
      </c>
      <c r="B134" s="169"/>
      <c r="C134" s="230"/>
      <c r="D134" s="230"/>
      <c r="E134" s="230"/>
      <c r="F134" s="230"/>
      <c r="G134" s="230"/>
      <c r="H134" s="230"/>
      <c r="I134" s="230"/>
      <c r="J134" s="1457"/>
      <c r="K134" s="1458"/>
      <c r="L134" s="1458"/>
      <c r="M134" s="1459"/>
      <c r="P134" s="699" t="s">
        <v>87</v>
      </c>
      <c r="Z134" s="699" t="s">
        <v>87</v>
      </c>
    </row>
    <row r="135" spans="1:26" x14ac:dyDescent="0.2">
      <c r="A135" s="287" t="s">
        <v>1043</v>
      </c>
      <c r="B135" s="169">
        <v>23</v>
      </c>
      <c r="C135" s="149" t="s">
        <v>90</v>
      </c>
      <c r="D135" s="149" t="s">
        <v>90</v>
      </c>
      <c r="E135" s="149" t="s">
        <v>90</v>
      </c>
      <c r="F135" s="282" t="str">
        <f t="shared" ref="F135:F142" si="41">IF(OR(C135&lt;&gt;"-",D135&lt;&gt;"-",E135&lt;&gt;"-"),MAX(0,SUM(C135)-SUM(D135)-SUM(E135)),"-")</f>
        <v>-</v>
      </c>
      <c r="G135" s="282" t="str">
        <f t="shared" ref="G135:G136" si="42">IF(OR(C135&lt;&gt;"-",D135&lt;&gt;"-"),MAX(0,SUM(C135)-SUM(D135)),"-")</f>
        <v>-</v>
      </c>
      <c r="H135" s="149" t="s">
        <v>90</v>
      </c>
      <c r="I135" s="742"/>
      <c r="J135" s="1460"/>
      <c r="K135" s="1458"/>
      <c r="L135" s="1458"/>
      <c r="M135" s="1459"/>
      <c r="P135" s="699" t="s">
        <v>87</v>
      </c>
      <c r="Z135" s="699" t="s">
        <v>87</v>
      </c>
    </row>
    <row r="136" spans="1:26" x14ac:dyDescent="0.2">
      <c r="A136" s="287" t="s">
        <v>1044</v>
      </c>
      <c r="B136" s="169">
        <v>24</v>
      </c>
      <c r="C136" s="139" t="s">
        <v>90</v>
      </c>
      <c r="D136" s="139" t="s">
        <v>90</v>
      </c>
      <c r="E136" s="139" t="s">
        <v>90</v>
      </c>
      <c r="F136" s="882" t="str">
        <f t="shared" si="41"/>
        <v>-</v>
      </c>
      <c r="G136" s="153" t="str">
        <f t="shared" si="42"/>
        <v>-</v>
      </c>
      <c r="H136" s="323"/>
      <c r="I136" s="139" t="s">
        <v>90</v>
      </c>
      <c r="J136" s="1460"/>
      <c r="K136" s="1458"/>
      <c r="L136" s="1458"/>
      <c r="M136" s="1459"/>
      <c r="P136" s="699" t="s">
        <v>87</v>
      </c>
      <c r="Z136" s="699" t="s">
        <v>87</v>
      </c>
    </row>
    <row r="137" spans="1:26" x14ac:dyDescent="0.2">
      <c r="A137" s="880" t="s">
        <v>1041</v>
      </c>
      <c r="B137" s="169"/>
      <c r="C137" s="230"/>
      <c r="D137" s="230"/>
      <c r="E137" s="230"/>
      <c r="F137" s="230"/>
      <c r="G137" s="230"/>
      <c r="H137" s="230"/>
      <c r="I137" s="230"/>
      <c r="J137" s="1457"/>
      <c r="K137" s="1458"/>
      <c r="L137" s="1458"/>
      <c r="M137" s="1459"/>
      <c r="P137" s="699" t="s">
        <v>87</v>
      </c>
      <c r="Z137" s="699" t="s">
        <v>87</v>
      </c>
    </row>
    <row r="138" spans="1:26" x14ac:dyDescent="0.2">
      <c r="A138" s="287" t="s">
        <v>1043</v>
      </c>
      <c r="B138" s="169">
        <v>25</v>
      </c>
      <c r="C138" s="149" t="s">
        <v>90</v>
      </c>
      <c r="D138" s="149" t="s">
        <v>90</v>
      </c>
      <c r="E138" s="149" t="s">
        <v>90</v>
      </c>
      <c r="F138" s="282" t="str">
        <f t="shared" si="41"/>
        <v>-</v>
      </c>
      <c r="G138" s="282" t="str">
        <f t="shared" ref="G138:G139" si="43">IF(OR(C138&lt;&gt;"-",D138&lt;&gt;"-"),MAX(0,SUM(C138)-SUM(D138)),"-")</f>
        <v>-</v>
      </c>
      <c r="H138" s="149" t="s">
        <v>90</v>
      </c>
      <c r="I138" s="742"/>
      <c r="J138" s="1460"/>
      <c r="K138" s="1458"/>
      <c r="L138" s="1458"/>
      <c r="M138" s="1459"/>
      <c r="P138" s="699" t="s">
        <v>87</v>
      </c>
      <c r="Z138" s="699" t="s">
        <v>87</v>
      </c>
    </row>
    <row r="139" spans="1:26" x14ac:dyDescent="0.2">
      <c r="A139" s="287" t="s">
        <v>1044</v>
      </c>
      <c r="B139" s="169">
        <v>26</v>
      </c>
      <c r="C139" s="139" t="s">
        <v>90</v>
      </c>
      <c r="D139" s="139" t="s">
        <v>90</v>
      </c>
      <c r="E139" s="139" t="s">
        <v>90</v>
      </c>
      <c r="F139" s="882" t="str">
        <f t="shared" si="41"/>
        <v>-</v>
      </c>
      <c r="G139" s="153" t="str">
        <f t="shared" si="43"/>
        <v>-</v>
      </c>
      <c r="H139" s="323"/>
      <c r="I139" s="139" t="s">
        <v>90</v>
      </c>
      <c r="J139" s="1460"/>
      <c r="K139" s="1458"/>
      <c r="L139" s="1458"/>
      <c r="M139" s="1459"/>
      <c r="P139" s="699" t="s">
        <v>87</v>
      </c>
      <c r="Z139" s="699" t="s">
        <v>87</v>
      </c>
    </row>
    <row r="140" spans="1:26" x14ac:dyDescent="0.2">
      <c r="A140" s="880" t="s">
        <v>1042</v>
      </c>
      <c r="B140" s="169"/>
      <c r="C140" s="230"/>
      <c r="D140" s="230"/>
      <c r="E140" s="230"/>
      <c r="F140" s="230"/>
      <c r="G140" s="230"/>
      <c r="H140" s="230"/>
      <c r="I140" s="230"/>
      <c r="J140" s="1457"/>
      <c r="K140" s="1458"/>
      <c r="L140" s="1458"/>
      <c r="M140" s="1459"/>
      <c r="P140" s="699" t="s">
        <v>87</v>
      </c>
      <c r="Z140" s="699" t="s">
        <v>87</v>
      </c>
    </row>
    <row r="141" spans="1:26" x14ac:dyDescent="0.2">
      <c r="A141" s="287" t="s">
        <v>1043</v>
      </c>
      <c r="B141" s="169">
        <v>27</v>
      </c>
      <c r="C141" s="149" t="s">
        <v>90</v>
      </c>
      <c r="D141" s="149" t="s">
        <v>90</v>
      </c>
      <c r="E141" s="149" t="s">
        <v>90</v>
      </c>
      <c r="F141" s="282" t="str">
        <f t="shared" si="41"/>
        <v>-</v>
      </c>
      <c r="G141" s="282" t="str">
        <f t="shared" ref="G141:G142" si="44">IF(OR(C141&lt;&gt;"-",D141&lt;&gt;"-"),MAX(0,SUM(C141)-SUM(D141)),"-")</f>
        <v>-</v>
      </c>
      <c r="H141" s="149" t="s">
        <v>90</v>
      </c>
      <c r="I141" s="742"/>
      <c r="J141" s="1460"/>
      <c r="K141" s="1458"/>
      <c r="L141" s="1458"/>
      <c r="M141" s="1459"/>
      <c r="P141" s="699" t="s">
        <v>87</v>
      </c>
      <c r="Z141" s="699" t="s">
        <v>87</v>
      </c>
    </row>
    <row r="142" spans="1:26" x14ac:dyDescent="0.2">
      <c r="A142" s="291" t="s">
        <v>1044</v>
      </c>
      <c r="B142" s="162">
        <v>28</v>
      </c>
      <c r="C142" s="139" t="s">
        <v>90</v>
      </c>
      <c r="D142" s="139" t="s">
        <v>90</v>
      </c>
      <c r="E142" s="139" t="s">
        <v>90</v>
      </c>
      <c r="F142" s="882" t="str">
        <f t="shared" si="41"/>
        <v>-</v>
      </c>
      <c r="G142" s="153" t="str">
        <f t="shared" si="44"/>
        <v>-</v>
      </c>
      <c r="H142" s="323"/>
      <c r="I142" s="139" t="s">
        <v>90</v>
      </c>
      <c r="J142" s="1461"/>
      <c r="K142" s="1462"/>
      <c r="L142" s="1462"/>
      <c r="M142" s="1463"/>
      <c r="P142" s="699" t="s">
        <v>87</v>
      </c>
      <c r="Z142" s="699" t="s">
        <v>87</v>
      </c>
    </row>
    <row r="143" spans="1:26" x14ac:dyDescent="0.2">
      <c r="P143" s="699" t="s">
        <v>87</v>
      </c>
      <c r="Z143" s="699" t="s">
        <v>87</v>
      </c>
    </row>
    <row r="144" spans="1:26" ht="14.25" x14ac:dyDescent="0.2">
      <c r="A144" s="874" t="s">
        <v>1034</v>
      </c>
      <c r="B144" s="875"/>
      <c r="C144" s="864" t="s">
        <v>1016</v>
      </c>
      <c r="F144" s="328" t="s">
        <v>1017</v>
      </c>
      <c r="G144" s="331"/>
      <c r="P144" s="699" t="s">
        <v>87</v>
      </c>
      <c r="Z144" s="699" t="s">
        <v>87</v>
      </c>
    </row>
    <row r="145" spans="1:26" ht="63.75" x14ac:dyDescent="0.2">
      <c r="A145" s="876" t="s">
        <v>723</v>
      </c>
      <c r="B145" s="877"/>
      <c r="C145" s="278" t="s">
        <v>1019</v>
      </c>
      <c r="D145" s="278" t="s">
        <v>1035</v>
      </c>
      <c r="E145" s="278" t="s">
        <v>990</v>
      </c>
      <c r="F145" s="278" t="s">
        <v>691</v>
      </c>
      <c r="G145" s="278" t="s">
        <v>690</v>
      </c>
      <c r="H145" s="278" t="s">
        <v>1036</v>
      </c>
      <c r="I145" s="278" t="s">
        <v>1037</v>
      </c>
      <c r="J145" s="1432" t="s">
        <v>1038</v>
      </c>
      <c r="K145" s="1433"/>
      <c r="L145" s="1433"/>
      <c r="M145" s="1434"/>
      <c r="P145" s="699" t="s">
        <v>87</v>
      </c>
      <c r="Z145" s="699" t="s">
        <v>87</v>
      </c>
    </row>
    <row r="146" spans="1:26" ht="14.25" x14ac:dyDescent="0.2">
      <c r="A146" s="878"/>
      <c r="B146" s="124">
        <v>84</v>
      </c>
      <c r="C146" s="105">
        <v>1</v>
      </c>
      <c r="D146" s="105">
        <v>2</v>
      </c>
      <c r="E146" s="105">
        <v>3</v>
      </c>
      <c r="F146" s="167" t="s">
        <v>1021</v>
      </c>
      <c r="G146" s="214" t="s">
        <v>1022</v>
      </c>
      <c r="H146" s="167">
        <v>6</v>
      </c>
      <c r="I146" s="167">
        <v>7</v>
      </c>
      <c r="J146" s="1465">
        <v>8</v>
      </c>
      <c r="K146" s="1465"/>
      <c r="L146" s="1465"/>
      <c r="M146" s="1466"/>
      <c r="P146" s="699" t="s">
        <v>87</v>
      </c>
      <c r="Z146" s="699" t="s">
        <v>87</v>
      </c>
    </row>
    <row r="147" spans="1:26" x14ac:dyDescent="0.2">
      <c r="A147" s="879" t="s">
        <v>1026</v>
      </c>
      <c r="B147" s="169">
        <v>1</v>
      </c>
      <c r="C147" s="225"/>
      <c r="D147" s="225"/>
      <c r="E147" s="225"/>
      <c r="F147" s="565">
        <f>SUM(F148:F150)</f>
        <v>0</v>
      </c>
      <c r="G147" s="565">
        <f>SUM(G148:G150)</f>
        <v>0</v>
      </c>
      <c r="H147" s="225"/>
      <c r="I147" s="225"/>
      <c r="J147" s="1454" t="s">
        <v>1039</v>
      </c>
      <c r="K147" s="1455"/>
      <c r="L147" s="1455"/>
      <c r="M147" s="1456"/>
      <c r="P147" s="699" t="s">
        <v>87</v>
      </c>
      <c r="Z147" s="699" t="s">
        <v>87</v>
      </c>
    </row>
    <row r="148" spans="1:26" x14ac:dyDescent="0.2">
      <c r="A148" s="880" t="s">
        <v>1040</v>
      </c>
      <c r="B148" s="169">
        <v>2</v>
      </c>
      <c r="C148" s="149" t="s">
        <v>90</v>
      </c>
      <c r="D148" s="149" t="s">
        <v>90</v>
      </c>
      <c r="E148" s="149" t="s">
        <v>90</v>
      </c>
      <c r="F148" s="282" t="str">
        <f t="shared" ref="F148:F154" si="45">IF(OR(C148&lt;&gt;"-",D148&lt;&gt;"-",E148&lt;&gt;"-"),MAX(0,SUM(C148)-SUM(D148)-SUM(E148)),"-")</f>
        <v>-</v>
      </c>
      <c r="G148" s="282" t="str">
        <f t="shared" ref="G148:G150" si="46">IF(OR(C148&lt;&gt;"-",D148&lt;&gt;"-"),MAX(0,SUM(C148)-SUM(D148)),"-")</f>
        <v>-</v>
      </c>
      <c r="H148" s="149" t="s">
        <v>90</v>
      </c>
      <c r="I148" s="230"/>
      <c r="J148" s="1460"/>
      <c r="K148" s="1458"/>
      <c r="L148" s="1458"/>
      <c r="M148" s="1459"/>
      <c r="P148" s="699" t="s">
        <v>87</v>
      </c>
      <c r="Z148" s="699" t="s">
        <v>87</v>
      </c>
    </row>
    <row r="149" spans="1:26" x14ac:dyDescent="0.2">
      <c r="A149" s="880" t="s">
        <v>1041</v>
      </c>
      <c r="B149" s="169">
        <v>3</v>
      </c>
      <c r="C149" s="137" t="s">
        <v>90</v>
      </c>
      <c r="D149" s="137" t="s">
        <v>90</v>
      </c>
      <c r="E149" s="137" t="s">
        <v>90</v>
      </c>
      <c r="F149" s="152" t="str">
        <f t="shared" si="45"/>
        <v>-</v>
      </c>
      <c r="G149" s="285" t="str">
        <f t="shared" si="46"/>
        <v>-</v>
      </c>
      <c r="H149" s="137" t="s">
        <v>90</v>
      </c>
      <c r="I149" s="230"/>
      <c r="J149" s="1460"/>
      <c r="K149" s="1458"/>
      <c r="L149" s="1458"/>
      <c r="M149" s="1459"/>
      <c r="P149" s="699" t="s">
        <v>87</v>
      </c>
      <c r="Z149" s="699" t="s">
        <v>87</v>
      </c>
    </row>
    <row r="150" spans="1:26" x14ac:dyDescent="0.2">
      <c r="A150" s="881" t="s">
        <v>1042</v>
      </c>
      <c r="B150" s="162">
        <v>4</v>
      </c>
      <c r="C150" s="139" t="s">
        <v>90</v>
      </c>
      <c r="D150" s="139" t="s">
        <v>90</v>
      </c>
      <c r="E150" s="139" t="s">
        <v>90</v>
      </c>
      <c r="F150" s="882" t="str">
        <f t="shared" si="45"/>
        <v>-</v>
      </c>
      <c r="G150" s="153" t="str">
        <f t="shared" si="46"/>
        <v>-</v>
      </c>
      <c r="H150" s="139" t="s">
        <v>90</v>
      </c>
      <c r="I150" s="323"/>
      <c r="J150" s="1461"/>
      <c r="K150" s="1462"/>
      <c r="L150" s="1462"/>
      <c r="M150" s="1463"/>
      <c r="P150" s="699" t="s">
        <v>87</v>
      </c>
      <c r="Z150" s="699" t="s">
        <v>87</v>
      </c>
    </row>
    <row r="151" spans="1:26" x14ac:dyDescent="0.2">
      <c r="A151" s="879" t="s">
        <v>1027</v>
      </c>
      <c r="B151" s="883"/>
      <c r="C151" s="884"/>
      <c r="D151" s="884"/>
      <c r="E151" s="884"/>
      <c r="F151" s="885">
        <f>SUM(F152:F154)</f>
        <v>0</v>
      </c>
      <c r="G151" s="886">
        <f>SUM(G152:G154)</f>
        <v>0</v>
      </c>
      <c r="H151" s="884"/>
      <c r="I151" s="884"/>
      <c r="J151" s="1454" t="s">
        <v>1039</v>
      </c>
      <c r="K151" s="1455"/>
      <c r="L151" s="1455"/>
      <c r="M151" s="1456"/>
      <c r="P151" s="699" t="s">
        <v>87</v>
      </c>
      <c r="Z151" s="699" t="s">
        <v>87</v>
      </c>
    </row>
    <row r="152" spans="1:26" x14ac:dyDescent="0.2">
      <c r="A152" s="880" t="s">
        <v>1040</v>
      </c>
      <c r="B152" s="169">
        <v>5</v>
      </c>
      <c r="C152" s="149" t="s">
        <v>90</v>
      </c>
      <c r="D152" s="149" t="s">
        <v>90</v>
      </c>
      <c r="E152" s="149" t="s">
        <v>90</v>
      </c>
      <c r="F152" s="282" t="str">
        <f t="shared" si="45"/>
        <v>-</v>
      </c>
      <c r="G152" s="282" t="str">
        <f t="shared" ref="G152:G154" si="47">IF(OR(C152&lt;&gt;"-",D152&lt;&gt;"-"),MAX(0,SUM(C152)-SUM(D152)),"-")</f>
        <v>-</v>
      </c>
      <c r="H152" s="149" t="s">
        <v>90</v>
      </c>
      <c r="I152" s="230"/>
      <c r="J152" s="1460"/>
      <c r="K152" s="1458"/>
      <c r="L152" s="1458"/>
      <c r="M152" s="1459"/>
      <c r="P152" s="699" t="s">
        <v>87</v>
      </c>
      <c r="Z152" s="699" t="s">
        <v>87</v>
      </c>
    </row>
    <row r="153" spans="1:26" x14ac:dyDescent="0.2">
      <c r="A153" s="880" t="s">
        <v>1041</v>
      </c>
      <c r="B153" s="169">
        <v>6</v>
      </c>
      <c r="C153" s="137" t="s">
        <v>90</v>
      </c>
      <c r="D153" s="137" t="s">
        <v>90</v>
      </c>
      <c r="E153" s="137" t="s">
        <v>90</v>
      </c>
      <c r="F153" s="152" t="str">
        <f t="shared" si="45"/>
        <v>-</v>
      </c>
      <c r="G153" s="285" t="str">
        <f t="shared" si="47"/>
        <v>-</v>
      </c>
      <c r="H153" s="137" t="s">
        <v>90</v>
      </c>
      <c r="I153" s="230"/>
      <c r="J153" s="1460"/>
      <c r="K153" s="1458"/>
      <c r="L153" s="1458"/>
      <c r="M153" s="1459"/>
      <c r="P153" s="699" t="s">
        <v>87</v>
      </c>
      <c r="Z153" s="699" t="s">
        <v>87</v>
      </c>
    </row>
    <row r="154" spans="1:26" x14ac:dyDescent="0.2">
      <c r="A154" s="881" t="s">
        <v>1042</v>
      </c>
      <c r="B154" s="162">
        <v>7</v>
      </c>
      <c r="C154" s="139" t="s">
        <v>90</v>
      </c>
      <c r="D154" s="139" t="s">
        <v>90</v>
      </c>
      <c r="E154" s="139" t="s">
        <v>90</v>
      </c>
      <c r="F154" s="882" t="str">
        <f t="shared" si="45"/>
        <v>-</v>
      </c>
      <c r="G154" s="153" t="str">
        <f t="shared" si="47"/>
        <v>-</v>
      </c>
      <c r="H154" s="139" t="s">
        <v>90</v>
      </c>
      <c r="I154" s="323"/>
      <c r="J154" s="1461"/>
      <c r="K154" s="1462"/>
      <c r="L154" s="1462"/>
      <c r="M154" s="1463"/>
      <c r="P154" s="699" t="s">
        <v>87</v>
      </c>
      <c r="Z154" s="699" t="s">
        <v>87</v>
      </c>
    </row>
    <row r="155" spans="1:26" x14ac:dyDescent="0.2">
      <c r="A155" s="879" t="s">
        <v>1028</v>
      </c>
      <c r="B155" s="883">
        <v>8</v>
      </c>
      <c r="C155" s="225"/>
      <c r="D155" s="225"/>
      <c r="E155" s="225"/>
      <c r="F155" s="885">
        <f>SUM(F157:F164)</f>
        <v>0</v>
      </c>
      <c r="G155" s="565">
        <f>SUM(G157:G164)</f>
        <v>0</v>
      </c>
      <c r="H155" s="225"/>
      <c r="I155" s="225"/>
      <c r="J155" s="1454"/>
      <c r="K155" s="1455"/>
      <c r="L155" s="1455"/>
      <c r="M155" s="1456"/>
      <c r="P155" s="699" t="s">
        <v>87</v>
      </c>
      <c r="Z155" s="699" t="s">
        <v>87</v>
      </c>
    </row>
    <row r="156" spans="1:26" x14ac:dyDescent="0.2">
      <c r="A156" s="880" t="s">
        <v>1040</v>
      </c>
      <c r="B156" s="169"/>
      <c r="C156" s="230"/>
      <c r="D156" s="230"/>
      <c r="E156" s="230"/>
      <c r="F156" s="230"/>
      <c r="G156" s="230"/>
      <c r="H156" s="230"/>
      <c r="I156" s="230"/>
      <c r="J156" s="1457"/>
      <c r="K156" s="1458"/>
      <c r="L156" s="1458"/>
      <c r="M156" s="1459"/>
      <c r="P156" s="699" t="s">
        <v>87</v>
      </c>
      <c r="Z156" s="699" t="s">
        <v>87</v>
      </c>
    </row>
    <row r="157" spans="1:26" x14ac:dyDescent="0.2">
      <c r="A157" s="287" t="s">
        <v>1043</v>
      </c>
      <c r="B157" s="169">
        <v>9</v>
      </c>
      <c r="C157" s="149" t="s">
        <v>90</v>
      </c>
      <c r="D157" s="149" t="s">
        <v>90</v>
      </c>
      <c r="E157" s="149" t="s">
        <v>90</v>
      </c>
      <c r="F157" s="282" t="str">
        <f t="shared" ref="F157:F164" si="48">IF(OR(C157&lt;&gt;"-",D157&lt;&gt;"-",E157&lt;&gt;"-"),MAX(0,SUM(C157)-SUM(D157)-SUM(E157)),"-")</f>
        <v>-</v>
      </c>
      <c r="G157" s="282" t="str">
        <f t="shared" ref="G157:G158" si="49">IF(OR(C157&lt;&gt;"-",D157&lt;&gt;"-"),MAX(0,SUM(C157)-SUM(D157)),"-")</f>
        <v>-</v>
      </c>
      <c r="H157" s="149" t="s">
        <v>90</v>
      </c>
      <c r="I157" s="742"/>
      <c r="J157" s="1460"/>
      <c r="K157" s="1458"/>
      <c r="L157" s="1458"/>
      <c r="M157" s="1459"/>
      <c r="P157" s="699" t="s">
        <v>87</v>
      </c>
      <c r="Z157" s="699" t="s">
        <v>87</v>
      </c>
    </row>
    <row r="158" spans="1:26" x14ac:dyDescent="0.2">
      <c r="A158" s="287" t="s">
        <v>1044</v>
      </c>
      <c r="B158" s="169">
        <v>10</v>
      </c>
      <c r="C158" s="139" t="s">
        <v>90</v>
      </c>
      <c r="D158" s="139" t="s">
        <v>90</v>
      </c>
      <c r="E158" s="139" t="s">
        <v>90</v>
      </c>
      <c r="F158" s="882" t="str">
        <f t="shared" si="48"/>
        <v>-</v>
      </c>
      <c r="G158" s="153" t="str">
        <f t="shared" si="49"/>
        <v>-</v>
      </c>
      <c r="H158" s="323"/>
      <c r="I158" s="139" t="s">
        <v>90</v>
      </c>
      <c r="J158" s="1460"/>
      <c r="K158" s="1458"/>
      <c r="L158" s="1458"/>
      <c r="M158" s="1459"/>
      <c r="P158" s="699" t="s">
        <v>87</v>
      </c>
      <c r="Z158" s="699" t="s">
        <v>87</v>
      </c>
    </row>
    <row r="159" spans="1:26" x14ac:dyDescent="0.2">
      <c r="A159" s="880" t="s">
        <v>1041</v>
      </c>
      <c r="B159" s="169"/>
      <c r="C159" s="230"/>
      <c r="D159" s="230"/>
      <c r="E159" s="230"/>
      <c r="F159" s="230"/>
      <c r="G159" s="230"/>
      <c r="H159" s="230"/>
      <c r="I159" s="230"/>
      <c r="J159" s="1457"/>
      <c r="K159" s="1458"/>
      <c r="L159" s="1458"/>
      <c r="M159" s="1459"/>
      <c r="P159" s="699" t="s">
        <v>87</v>
      </c>
      <c r="Z159" s="699" t="s">
        <v>87</v>
      </c>
    </row>
    <row r="160" spans="1:26" x14ac:dyDescent="0.2">
      <c r="A160" s="287" t="s">
        <v>1043</v>
      </c>
      <c r="B160" s="169">
        <v>11</v>
      </c>
      <c r="C160" s="149" t="s">
        <v>90</v>
      </c>
      <c r="D160" s="149" t="s">
        <v>90</v>
      </c>
      <c r="E160" s="149" t="s">
        <v>90</v>
      </c>
      <c r="F160" s="282" t="str">
        <f t="shared" si="48"/>
        <v>-</v>
      </c>
      <c r="G160" s="282" t="str">
        <f t="shared" ref="G160:G161" si="50">IF(OR(C160&lt;&gt;"-",D160&lt;&gt;"-"),MAX(0,SUM(C160)-SUM(D160)),"-")</f>
        <v>-</v>
      </c>
      <c r="H160" s="149" t="s">
        <v>90</v>
      </c>
      <c r="I160" s="742"/>
      <c r="J160" s="1460"/>
      <c r="K160" s="1458"/>
      <c r="L160" s="1458"/>
      <c r="M160" s="1459"/>
      <c r="P160" s="699" t="s">
        <v>87</v>
      </c>
      <c r="Z160" s="699" t="s">
        <v>87</v>
      </c>
    </row>
    <row r="161" spans="1:26" x14ac:dyDescent="0.2">
      <c r="A161" s="287" t="s">
        <v>1044</v>
      </c>
      <c r="B161" s="169">
        <v>12</v>
      </c>
      <c r="C161" s="139" t="s">
        <v>90</v>
      </c>
      <c r="D161" s="139" t="s">
        <v>90</v>
      </c>
      <c r="E161" s="139" t="s">
        <v>90</v>
      </c>
      <c r="F161" s="882" t="str">
        <f t="shared" si="48"/>
        <v>-</v>
      </c>
      <c r="G161" s="153" t="str">
        <f t="shared" si="50"/>
        <v>-</v>
      </c>
      <c r="H161" s="323"/>
      <c r="I161" s="139" t="s">
        <v>90</v>
      </c>
      <c r="J161" s="1460"/>
      <c r="K161" s="1458"/>
      <c r="L161" s="1458"/>
      <c r="M161" s="1459"/>
      <c r="P161" s="699" t="s">
        <v>87</v>
      </c>
      <c r="Z161" s="699" t="s">
        <v>87</v>
      </c>
    </row>
    <row r="162" spans="1:26" x14ac:dyDescent="0.2">
      <c r="A162" s="880" t="s">
        <v>1042</v>
      </c>
      <c r="B162" s="169"/>
      <c r="C162" s="230"/>
      <c r="D162" s="230"/>
      <c r="E162" s="230"/>
      <c r="F162" s="230"/>
      <c r="G162" s="230"/>
      <c r="H162" s="230"/>
      <c r="I162" s="230"/>
      <c r="J162" s="1457"/>
      <c r="K162" s="1458"/>
      <c r="L162" s="1458"/>
      <c r="M162" s="1459"/>
      <c r="P162" s="699" t="s">
        <v>87</v>
      </c>
      <c r="Z162" s="699" t="s">
        <v>87</v>
      </c>
    </row>
    <row r="163" spans="1:26" x14ac:dyDescent="0.2">
      <c r="A163" s="287" t="s">
        <v>1043</v>
      </c>
      <c r="B163" s="169">
        <v>13</v>
      </c>
      <c r="C163" s="149" t="s">
        <v>90</v>
      </c>
      <c r="D163" s="149" t="s">
        <v>90</v>
      </c>
      <c r="E163" s="149" t="s">
        <v>90</v>
      </c>
      <c r="F163" s="282" t="str">
        <f t="shared" si="48"/>
        <v>-</v>
      </c>
      <c r="G163" s="282" t="str">
        <f t="shared" ref="G163:G164" si="51">IF(OR(C163&lt;&gt;"-",D163&lt;&gt;"-"),MAX(0,SUM(C163)-SUM(D163)),"-")</f>
        <v>-</v>
      </c>
      <c r="H163" s="149" t="s">
        <v>90</v>
      </c>
      <c r="I163" s="742"/>
      <c r="J163" s="1460"/>
      <c r="K163" s="1458"/>
      <c r="L163" s="1458"/>
      <c r="M163" s="1459"/>
      <c r="P163" s="699" t="s">
        <v>87</v>
      </c>
      <c r="Z163" s="699" t="s">
        <v>87</v>
      </c>
    </row>
    <row r="164" spans="1:26" x14ac:dyDescent="0.2">
      <c r="A164" s="291" t="s">
        <v>1044</v>
      </c>
      <c r="B164" s="162">
        <v>14</v>
      </c>
      <c r="C164" s="139" t="s">
        <v>90</v>
      </c>
      <c r="D164" s="139" t="s">
        <v>90</v>
      </c>
      <c r="E164" s="139" t="s">
        <v>90</v>
      </c>
      <c r="F164" s="882" t="str">
        <f t="shared" si="48"/>
        <v>-</v>
      </c>
      <c r="G164" s="153" t="str">
        <f t="shared" si="51"/>
        <v>-</v>
      </c>
      <c r="H164" s="323"/>
      <c r="I164" s="139" t="s">
        <v>90</v>
      </c>
      <c r="J164" s="1461"/>
      <c r="K164" s="1462"/>
      <c r="L164" s="1462"/>
      <c r="M164" s="1463"/>
      <c r="P164" s="699" t="s">
        <v>87</v>
      </c>
      <c r="Z164" s="699" t="s">
        <v>87</v>
      </c>
    </row>
    <row r="165" spans="1:26" x14ac:dyDescent="0.2">
      <c r="A165" s="879" t="s">
        <v>1029</v>
      </c>
      <c r="B165" s="883">
        <v>15</v>
      </c>
      <c r="C165" s="225"/>
      <c r="D165" s="225"/>
      <c r="E165" s="225"/>
      <c r="F165" s="885">
        <f>SUM(F167:F174)</f>
        <v>0</v>
      </c>
      <c r="G165" s="565">
        <f>SUM(G167:G174)</f>
        <v>0</v>
      </c>
      <c r="H165" s="225"/>
      <c r="I165" s="225"/>
      <c r="J165" s="1454"/>
      <c r="K165" s="1455"/>
      <c r="L165" s="1455"/>
      <c r="M165" s="1456"/>
      <c r="P165" s="699" t="s">
        <v>87</v>
      </c>
      <c r="Z165" s="699" t="s">
        <v>87</v>
      </c>
    </row>
    <row r="166" spans="1:26" x14ac:dyDescent="0.2">
      <c r="A166" s="880" t="s">
        <v>1040</v>
      </c>
      <c r="B166" s="169"/>
      <c r="C166" s="230"/>
      <c r="D166" s="230"/>
      <c r="E166" s="230"/>
      <c r="F166" s="230"/>
      <c r="G166" s="230"/>
      <c r="H166" s="230"/>
      <c r="I166" s="230"/>
      <c r="J166" s="1457"/>
      <c r="K166" s="1458"/>
      <c r="L166" s="1458"/>
      <c r="M166" s="1459"/>
      <c r="P166" s="699" t="s">
        <v>87</v>
      </c>
      <c r="Z166" s="699" t="s">
        <v>87</v>
      </c>
    </row>
    <row r="167" spans="1:26" x14ac:dyDescent="0.2">
      <c r="A167" s="287" t="s">
        <v>1043</v>
      </c>
      <c r="B167" s="169">
        <v>16</v>
      </c>
      <c r="C167" s="149" t="s">
        <v>90</v>
      </c>
      <c r="D167" s="149" t="s">
        <v>90</v>
      </c>
      <c r="E167" s="149" t="s">
        <v>90</v>
      </c>
      <c r="F167" s="282" t="str">
        <f t="shared" ref="F167:F174" si="52">IF(OR(C167&lt;&gt;"-",D167&lt;&gt;"-",E167&lt;&gt;"-"),MAX(0,SUM(C167)-SUM(D167)-SUM(E167)),"-")</f>
        <v>-</v>
      </c>
      <c r="G167" s="282" t="str">
        <f t="shared" ref="G167:G168" si="53">IF(OR(C167&lt;&gt;"-",D167&lt;&gt;"-"),MAX(0,SUM(C167)-SUM(D167)),"-")</f>
        <v>-</v>
      </c>
      <c r="H167" s="149" t="s">
        <v>90</v>
      </c>
      <c r="I167" s="742"/>
      <c r="J167" s="1460"/>
      <c r="K167" s="1458"/>
      <c r="L167" s="1458"/>
      <c r="M167" s="1459"/>
      <c r="P167" s="699" t="s">
        <v>87</v>
      </c>
      <c r="Z167" s="699" t="s">
        <v>87</v>
      </c>
    </row>
    <row r="168" spans="1:26" x14ac:dyDescent="0.2">
      <c r="A168" s="287" t="s">
        <v>1044</v>
      </c>
      <c r="B168" s="169">
        <v>17</v>
      </c>
      <c r="C168" s="139" t="s">
        <v>90</v>
      </c>
      <c r="D168" s="139" t="s">
        <v>90</v>
      </c>
      <c r="E168" s="139" t="s">
        <v>90</v>
      </c>
      <c r="F168" s="882" t="str">
        <f t="shared" si="52"/>
        <v>-</v>
      </c>
      <c r="G168" s="153" t="str">
        <f t="shared" si="53"/>
        <v>-</v>
      </c>
      <c r="H168" s="323"/>
      <c r="I168" s="139" t="s">
        <v>90</v>
      </c>
      <c r="J168" s="1460"/>
      <c r="K168" s="1458"/>
      <c r="L168" s="1458"/>
      <c r="M168" s="1459"/>
      <c r="P168" s="699" t="s">
        <v>87</v>
      </c>
      <c r="Z168" s="699" t="s">
        <v>87</v>
      </c>
    </row>
    <row r="169" spans="1:26" x14ac:dyDescent="0.2">
      <c r="A169" s="880" t="s">
        <v>1041</v>
      </c>
      <c r="B169" s="169"/>
      <c r="C169" s="230"/>
      <c r="D169" s="230"/>
      <c r="E169" s="230"/>
      <c r="F169" s="230"/>
      <c r="G169" s="230"/>
      <c r="H169" s="230"/>
      <c r="I169" s="230"/>
      <c r="J169" s="1457"/>
      <c r="K169" s="1458"/>
      <c r="L169" s="1458"/>
      <c r="M169" s="1459"/>
      <c r="P169" s="699" t="s">
        <v>87</v>
      </c>
      <c r="Z169" s="699" t="s">
        <v>87</v>
      </c>
    </row>
    <row r="170" spans="1:26" x14ac:dyDescent="0.2">
      <c r="A170" s="287" t="s">
        <v>1043</v>
      </c>
      <c r="B170" s="169">
        <v>18</v>
      </c>
      <c r="C170" s="149" t="s">
        <v>90</v>
      </c>
      <c r="D170" s="149" t="s">
        <v>90</v>
      </c>
      <c r="E170" s="149" t="s">
        <v>90</v>
      </c>
      <c r="F170" s="282" t="str">
        <f t="shared" si="52"/>
        <v>-</v>
      </c>
      <c r="G170" s="282" t="str">
        <f t="shared" ref="G170:G171" si="54">IF(OR(C170&lt;&gt;"-",D170&lt;&gt;"-"),MAX(0,SUM(C170)-SUM(D170)),"-")</f>
        <v>-</v>
      </c>
      <c r="H170" s="149" t="s">
        <v>90</v>
      </c>
      <c r="I170" s="742"/>
      <c r="J170" s="1460"/>
      <c r="K170" s="1458"/>
      <c r="L170" s="1458"/>
      <c r="M170" s="1459"/>
      <c r="P170" s="699" t="s">
        <v>87</v>
      </c>
      <c r="Z170" s="699" t="s">
        <v>87</v>
      </c>
    </row>
    <row r="171" spans="1:26" x14ac:dyDescent="0.2">
      <c r="A171" s="287" t="s">
        <v>1044</v>
      </c>
      <c r="B171" s="169">
        <v>19</v>
      </c>
      <c r="C171" s="139" t="s">
        <v>90</v>
      </c>
      <c r="D171" s="139" t="s">
        <v>90</v>
      </c>
      <c r="E171" s="139" t="s">
        <v>90</v>
      </c>
      <c r="F171" s="882" t="str">
        <f t="shared" si="52"/>
        <v>-</v>
      </c>
      <c r="G171" s="153" t="str">
        <f t="shared" si="54"/>
        <v>-</v>
      </c>
      <c r="H171" s="323"/>
      <c r="I171" s="139" t="s">
        <v>90</v>
      </c>
      <c r="J171" s="1460"/>
      <c r="K171" s="1458"/>
      <c r="L171" s="1458"/>
      <c r="M171" s="1459"/>
      <c r="P171" s="699" t="s">
        <v>87</v>
      </c>
      <c r="Z171" s="699" t="s">
        <v>87</v>
      </c>
    </row>
    <row r="172" spans="1:26" x14ac:dyDescent="0.2">
      <c r="A172" s="880" t="s">
        <v>1042</v>
      </c>
      <c r="B172" s="169"/>
      <c r="C172" s="230"/>
      <c r="D172" s="230"/>
      <c r="E172" s="230"/>
      <c r="F172" s="230"/>
      <c r="G172" s="230"/>
      <c r="H172" s="230"/>
      <c r="I172" s="230"/>
      <c r="J172" s="1457"/>
      <c r="K172" s="1458"/>
      <c r="L172" s="1458"/>
      <c r="M172" s="1459"/>
      <c r="P172" s="699" t="s">
        <v>87</v>
      </c>
      <c r="Z172" s="699" t="s">
        <v>87</v>
      </c>
    </row>
    <row r="173" spans="1:26" x14ac:dyDescent="0.2">
      <c r="A173" s="287" t="s">
        <v>1043</v>
      </c>
      <c r="B173" s="169">
        <v>20</v>
      </c>
      <c r="C173" s="149" t="s">
        <v>90</v>
      </c>
      <c r="D173" s="149" t="s">
        <v>90</v>
      </c>
      <c r="E173" s="149" t="s">
        <v>90</v>
      </c>
      <c r="F173" s="282" t="str">
        <f t="shared" si="52"/>
        <v>-</v>
      </c>
      <c r="G173" s="282" t="str">
        <f t="shared" ref="G173:G174" si="55">IF(OR(C173&lt;&gt;"-",D173&lt;&gt;"-"),MAX(0,SUM(C173)-SUM(D173)),"-")</f>
        <v>-</v>
      </c>
      <c r="H173" s="149" t="s">
        <v>90</v>
      </c>
      <c r="I173" s="742"/>
      <c r="J173" s="1460"/>
      <c r="K173" s="1458"/>
      <c r="L173" s="1458"/>
      <c r="M173" s="1459"/>
      <c r="P173" s="699" t="s">
        <v>87</v>
      </c>
      <c r="Z173" s="699" t="s">
        <v>87</v>
      </c>
    </row>
    <row r="174" spans="1:26" x14ac:dyDescent="0.2">
      <c r="A174" s="291" t="s">
        <v>1044</v>
      </c>
      <c r="B174" s="162">
        <v>21</v>
      </c>
      <c r="C174" s="139" t="s">
        <v>90</v>
      </c>
      <c r="D174" s="139" t="s">
        <v>90</v>
      </c>
      <c r="E174" s="139" t="s">
        <v>90</v>
      </c>
      <c r="F174" s="882" t="str">
        <f t="shared" si="52"/>
        <v>-</v>
      </c>
      <c r="G174" s="153" t="str">
        <f t="shared" si="55"/>
        <v>-</v>
      </c>
      <c r="H174" s="323"/>
      <c r="I174" s="139" t="s">
        <v>90</v>
      </c>
      <c r="J174" s="1461"/>
      <c r="K174" s="1462"/>
      <c r="L174" s="1462"/>
      <c r="M174" s="1463"/>
      <c r="P174" s="699" t="s">
        <v>87</v>
      </c>
      <c r="Z174" s="699" t="s">
        <v>87</v>
      </c>
    </row>
    <row r="175" spans="1:26" x14ac:dyDescent="0.2">
      <c r="A175" s="879" t="s">
        <v>1030</v>
      </c>
      <c r="B175" s="883">
        <v>22</v>
      </c>
      <c r="C175" s="225"/>
      <c r="D175" s="225"/>
      <c r="E175" s="225"/>
      <c r="F175" s="885">
        <f>SUM(F177:F184)</f>
        <v>0</v>
      </c>
      <c r="G175" s="565">
        <f>SUM(G177:G184)</f>
        <v>0</v>
      </c>
      <c r="H175" s="225"/>
      <c r="I175" s="225"/>
      <c r="J175" s="1454"/>
      <c r="K175" s="1455"/>
      <c r="L175" s="1455"/>
      <c r="M175" s="1456"/>
      <c r="P175" s="699" t="s">
        <v>87</v>
      </c>
      <c r="Z175" s="699" t="s">
        <v>87</v>
      </c>
    </row>
    <row r="176" spans="1:26" x14ac:dyDescent="0.2">
      <c r="A176" s="880" t="s">
        <v>1040</v>
      </c>
      <c r="B176" s="169"/>
      <c r="C176" s="230"/>
      <c r="D176" s="230"/>
      <c r="E176" s="230"/>
      <c r="F176" s="230"/>
      <c r="G176" s="230"/>
      <c r="H176" s="230"/>
      <c r="I176" s="230"/>
      <c r="J176" s="1457"/>
      <c r="K176" s="1458"/>
      <c r="L176" s="1458"/>
      <c r="M176" s="1459"/>
      <c r="P176" s="699" t="s">
        <v>87</v>
      </c>
      <c r="Z176" s="699" t="s">
        <v>87</v>
      </c>
    </row>
    <row r="177" spans="1:26" x14ac:dyDescent="0.2">
      <c r="A177" s="287" t="s">
        <v>1043</v>
      </c>
      <c r="B177" s="169">
        <v>23</v>
      </c>
      <c r="C177" s="149" t="s">
        <v>90</v>
      </c>
      <c r="D177" s="149" t="s">
        <v>90</v>
      </c>
      <c r="E177" s="149" t="s">
        <v>90</v>
      </c>
      <c r="F177" s="282" t="str">
        <f t="shared" ref="F177:F184" si="56">IF(OR(C177&lt;&gt;"-",D177&lt;&gt;"-",E177&lt;&gt;"-"),MAX(0,SUM(C177)-SUM(D177)-SUM(E177)),"-")</f>
        <v>-</v>
      </c>
      <c r="G177" s="282" t="str">
        <f t="shared" ref="G177:G178" si="57">IF(OR(C177&lt;&gt;"-",D177&lt;&gt;"-"),MAX(0,SUM(C177)-SUM(D177)),"-")</f>
        <v>-</v>
      </c>
      <c r="H177" s="149" t="s">
        <v>90</v>
      </c>
      <c r="I177" s="742"/>
      <c r="J177" s="1460"/>
      <c r="K177" s="1458"/>
      <c r="L177" s="1458"/>
      <c r="M177" s="1459"/>
      <c r="P177" s="699" t="s">
        <v>87</v>
      </c>
      <c r="Z177" s="699" t="s">
        <v>87</v>
      </c>
    </row>
    <row r="178" spans="1:26" x14ac:dyDescent="0.2">
      <c r="A178" s="287" t="s">
        <v>1044</v>
      </c>
      <c r="B178" s="169">
        <v>24</v>
      </c>
      <c r="C178" s="139" t="s">
        <v>90</v>
      </c>
      <c r="D178" s="139" t="s">
        <v>90</v>
      </c>
      <c r="E178" s="139" t="s">
        <v>90</v>
      </c>
      <c r="F178" s="882" t="str">
        <f t="shared" si="56"/>
        <v>-</v>
      </c>
      <c r="G178" s="153" t="str">
        <f t="shared" si="57"/>
        <v>-</v>
      </c>
      <c r="H178" s="323"/>
      <c r="I178" s="139" t="s">
        <v>90</v>
      </c>
      <c r="J178" s="1460"/>
      <c r="K178" s="1458"/>
      <c r="L178" s="1458"/>
      <c r="M178" s="1459"/>
      <c r="P178" s="699" t="s">
        <v>87</v>
      </c>
      <c r="Z178" s="699" t="s">
        <v>87</v>
      </c>
    </row>
    <row r="179" spans="1:26" x14ac:dyDescent="0.2">
      <c r="A179" s="880" t="s">
        <v>1041</v>
      </c>
      <c r="B179" s="169"/>
      <c r="C179" s="230"/>
      <c r="D179" s="230"/>
      <c r="E179" s="230"/>
      <c r="F179" s="230"/>
      <c r="G179" s="230"/>
      <c r="H179" s="230"/>
      <c r="I179" s="230"/>
      <c r="J179" s="1457"/>
      <c r="K179" s="1458"/>
      <c r="L179" s="1458"/>
      <c r="M179" s="1459"/>
      <c r="P179" s="699" t="s">
        <v>87</v>
      </c>
      <c r="Z179" s="699" t="s">
        <v>87</v>
      </c>
    </row>
    <row r="180" spans="1:26" x14ac:dyDescent="0.2">
      <c r="A180" s="287" t="s">
        <v>1043</v>
      </c>
      <c r="B180" s="169">
        <v>25</v>
      </c>
      <c r="C180" s="149" t="s">
        <v>90</v>
      </c>
      <c r="D180" s="149" t="s">
        <v>90</v>
      </c>
      <c r="E180" s="149" t="s">
        <v>90</v>
      </c>
      <c r="F180" s="282" t="str">
        <f t="shared" si="56"/>
        <v>-</v>
      </c>
      <c r="G180" s="282" t="str">
        <f t="shared" ref="G180:G181" si="58">IF(OR(C180&lt;&gt;"-",D180&lt;&gt;"-"),MAX(0,SUM(C180)-SUM(D180)),"-")</f>
        <v>-</v>
      </c>
      <c r="H180" s="149" t="s">
        <v>90</v>
      </c>
      <c r="I180" s="742"/>
      <c r="J180" s="1460"/>
      <c r="K180" s="1458"/>
      <c r="L180" s="1458"/>
      <c r="M180" s="1459"/>
      <c r="P180" s="699" t="s">
        <v>87</v>
      </c>
      <c r="Z180" s="699" t="s">
        <v>87</v>
      </c>
    </row>
    <row r="181" spans="1:26" x14ac:dyDescent="0.2">
      <c r="A181" s="287" t="s">
        <v>1044</v>
      </c>
      <c r="B181" s="169">
        <v>26</v>
      </c>
      <c r="C181" s="139" t="s">
        <v>90</v>
      </c>
      <c r="D181" s="139" t="s">
        <v>90</v>
      </c>
      <c r="E181" s="139" t="s">
        <v>90</v>
      </c>
      <c r="F181" s="882" t="str">
        <f t="shared" si="56"/>
        <v>-</v>
      </c>
      <c r="G181" s="153" t="str">
        <f t="shared" si="58"/>
        <v>-</v>
      </c>
      <c r="H181" s="323"/>
      <c r="I181" s="139" t="s">
        <v>90</v>
      </c>
      <c r="J181" s="1460"/>
      <c r="K181" s="1458"/>
      <c r="L181" s="1458"/>
      <c r="M181" s="1459"/>
      <c r="P181" s="699" t="s">
        <v>87</v>
      </c>
      <c r="Z181" s="699" t="s">
        <v>87</v>
      </c>
    </row>
    <row r="182" spans="1:26" x14ac:dyDescent="0.2">
      <c r="A182" s="880" t="s">
        <v>1042</v>
      </c>
      <c r="B182" s="169"/>
      <c r="C182" s="230"/>
      <c r="D182" s="230"/>
      <c r="E182" s="230"/>
      <c r="F182" s="230"/>
      <c r="G182" s="230"/>
      <c r="H182" s="230"/>
      <c r="I182" s="230"/>
      <c r="J182" s="1457"/>
      <c r="K182" s="1458"/>
      <c r="L182" s="1458"/>
      <c r="M182" s="1459"/>
      <c r="P182" s="699" t="s">
        <v>87</v>
      </c>
      <c r="Z182" s="699" t="s">
        <v>87</v>
      </c>
    </row>
    <row r="183" spans="1:26" x14ac:dyDescent="0.2">
      <c r="A183" s="287" t="s">
        <v>1043</v>
      </c>
      <c r="B183" s="169">
        <v>27</v>
      </c>
      <c r="C183" s="149" t="s">
        <v>90</v>
      </c>
      <c r="D183" s="149" t="s">
        <v>90</v>
      </c>
      <c r="E183" s="149" t="s">
        <v>90</v>
      </c>
      <c r="F183" s="282" t="str">
        <f t="shared" si="56"/>
        <v>-</v>
      </c>
      <c r="G183" s="282" t="str">
        <f t="shared" ref="G183:G184" si="59">IF(OR(C183&lt;&gt;"-",D183&lt;&gt;"-"),MAX(0,SUM(C183)-SUM(D183)),"-")</f>
        <v>-</v>
      </c>
      <c r="H183" s="149" t="s">
        <v>90</v>
      </c>
      <c r="I183" s="742"/>
      <c r="J183" s="1460"/>
      <c r="K183" s="1458"/>
      <c r="L183" s="1458"/>
      <c r="M183" s="1459"/>
      <c r="P183" s="699" t="s">
        <v>87</v>
      </c>
      <c r="Z183" s="699" t="s">
        <v>87</v>
      </c>
    </row>
    <row r="184" spans="1:26" x14ac:dyDescent="0.2">
      <c r="A184" s="291" t="s">
        <v>1044</v>
      </c>
      <c r="B184" s="162">
        <v>28</v>
      </c>
      <c r="C184" s="139" t="s">
        <v>90</v>
      </c>
      <c r="D184" s="139" t="s">
        <v>90</v>
      </c>
      <c r="E184" s="139" t="s">
        <v>90</v>
      </c>
      <c r="F184" s="882" t="str">
        <f t="shared" si="56"/>
        <v>-</v>
      </c>
      <c r="G184" s="153" t="str">
        <f t="shared" si="59"/>
        <v>-</v>
      </c>
      <c r="H184" s="323"/>
      <c r="I184" s="139" t="s">
        <v>90</v>
      </c>
      <c r="J184" s="1461"/>
      <c r="K184" s="1462"/>
      <c r="L184" s="1462"/>
      <c r="M184" s="1463"/>
      <c r="P184" s="699" t="s">
        <v>87</v>
      </c>
      <c r="Z184" s="699" t="s">
        <v>87</v>
      </c>
    </row>
    <row r="185" spans="1:26" x14ac:dyDescent="0.2">
      <c r="P185" s="699" t="s">
        <v>87</v>
      </c>
      <c r="Z185" s="699" t="s">
        <v>87</v>
      </c>
    </row>
    <row r="186" spans="1:26" ht="14.25" x14ac:dyDescent="0.2">
      <c r="A186" s="874" t="s">
        <v>1034</v>
      </c>
      <c r="B186" s="875"/>
      <c r="C186" s="864" t="s">
        <v>1016</v>
      </c>
      <c r="F186" s="328" t="s">
        <v>1017</v>
      </c>
      <c r="G186" s="331"/>
      <c r="P186" s="699" t="s">
        <v>87</v>
      </c>
      <c r="Z186" s="699" t="s">
        <v>87</v>
      </c>
    </row>
    <row r="187" spans="1:26" ht="63.75" x14ac:dyDescent="0.2">
      <c r="A187" s="876" t="s">
        <v>724</v>
      </c>
      <c r="B187" s="877"/>
      <c r="C187" s="278" t="s">
        <v>1019</v>
      </c>
      <c r="D187" s="278" t="s">
        <v>1035</v>
      </c>
      <c r="E187" s="278" t="s">
        <v>990</v>
      </c>
      <c r="F187" s="278" t="s">
        <v>691</v>
      </c>
      <c r="G187" s="278" t="s">
        <v>690</v>
      </c>
      <c r="H187" s="278" t="s">
        <v>1036</v>
      </c>
      <c r="I187" s="278" t="s">
        <v>1037</v>
      </c>
      <c r="J187" s="1432" t="s">
        <v>1038</v>
      </c>
      <c r="K187" s="1433"/>
      <c r="L187" s="1433"/>
      <c r="M187" s="1434"/>
      <c r="P187" s="699" t="s">
        <v>87</v>
      </c>
      <c r="Z187" s="699" t="s">
        <v>87</v>
      </c>
    </row>
    <row r="188" spans="1:26" ht="14.25" x14ac:dyDescent="0.2">
      <c r="A188" s="878"/>
      <c r="B188" s="124">
        <v>85</v>
      </c>
      <c r="C188" s="105">
        <v>1</v>
      </c>
      <c r="D188" s="105">
        <v>2</v>
      </c>
      <c r="E188" s="105">
        <v>3</v>
      </c>
      <c r="F188" s="167" t="s">
        <v>1021</v>
      </c>
      <c r="G188" s="214" t="s">
        <v>1022</v>
      </c>
      <c r="H188" s="167">
        <v>6</v>
      </c>
      <c r="I188" s="167">
        <v>7</v>
      </c>
      <c r="J188" s="1465">
        <v>8</v>
      </c>
      <c r="K188" s="1465"/>
      <c r="L188" s="1465"/>
      <c r="M188" s="1466"/>
      <c r="P188" s="699" t="s">
        <v>87</v>
      </c>
      <c r="Z188" s="699" t="s">
        <v>87</v>
      </c>
    </row>
    <row r="189" spans="1:26" x14ac:dyDescent="0.2">
      <c r="A189" s="879" t="s">
        <v>1026</v>
      </c>
      <c r="B189" s="169">
        <v>1</v>
      </c>
      <c r="C189" s="225"/>
      <c r="D189" s="225"/>
      <c r="E189" s="225"/>
      <c r="F189" s="565">
        <f>SUM(F190:F192)</f>
        <v>0</v>
      </c>
      <c r="G189" s="565">
        <f>SUM(G190:G192)</f>
        <v>0</v>
      </c>
      <c r="H189" s="225"/>
      <c r="I189" s="225"/>
      <c r="J189" s="1454" t="s">
        <v>1039</v>
      </c>
      <c r="K189" s="1455"/>
      <c r="L189" s="1455"/>
      <c r="M189" s="1456"/>
      <c r="P189" s="699" t="s">
        <v>87</v>
      </c>
      <c r="Z189" s="699" t="s">
        <v>87</v>
      </c>
    </row>
    <row r="190" spans="1:26" x14ac:dyDescent="0.2">
      <c r="A190" s="880" t="s">
        <v>1040</v>
      </c>
      <c r="B190" s="169">
        <v>2</v>
      </c>
      <c r="C190" s="149" t="s">
        <v>90</v>
      </c>
      <c r="D190" s="149" t="s">
        <v>90</v>
      </c>
      <c r="E190" s="149" t="s">
        <v>90</v>
      </c>
      <c r="F190" s="282" t="str">
        <f t="shared" ref="F190:F196" si="60">IF(OR(C190&lt;&gt;"-",D190&lt;&gt;"-",E190&lt;&gt;"-"),MAX(0,SUM(C190)-SUM(D190)-SUM(E190)),"-")</f>
        <v>-</v>
      </c>
      <c r="G190" s="282" t="str">
        <f t="shared" ref="G190:G192" si="61">IF(OR(C190&lt;&gt;"-",D190&lt;&gt;"-"),MAX(0,SUM(C190)-SUM(D190)),"-")</f>
        <v>-</v>
      </c>
      <c r="H190" s="149" t="s">
        <v>90</v>
      </c>
      <c r="I190" s="230"/>
      <c r="J190" s="1460"/>
      <c r="K190" s="1458"/>
      <c r="L190" s="1458"/>
      <c r="M190" s="1459"/>
      <c r="P190" s="699" t="s">
        <v>87</v>
      </c>
      <c r="Z190" s="699" t="s">
        <v>87</v>
      </c>
    </row>
    <row r="191" spans="1:26" x14ac:dyDescent="0.2">
      <c r="A191" s="880" t="s">
        <v>1041</v>
      </c>
      <c r="B191" s="169">
        <v>3</v>
      </c>
      <c r="C191" s="137" t="s">
        <v>90</v>
      </c>
      <c r="D191" s="137" t="s">
        <v>90</v>
      </c>
      <c r="E191" s="137" t="s">
        <v>90</v>
      </c>
      <c r="F191" s="152" t="str">
        <f t="shared" si="60"/>
        <v>-</v>
      </c>
      <c r="G191" s="285" t="str">
        <f t="shared" si="61"/>
        <v>-</v>
      </c>
      <c r="H191" s="137" t="s">
        <v>90</v>
      </c>
      <c r="I191" s="230"/>
      <c r="J191" s="1460"/>
      <c r="K191" s="1458"/>
      <c r="L191" s="1458"/>
      <c r="M191" s="1459"/>
      <c r="P191" s="699" t="s">
        <v>87</v>
      </c>
      <c r="Z191" s="699" t="s">
        <v>87</v>
      </c>
    </row>
    <row r="192" spans="1:26" x14ac:dyDescent="0.2">
      <c r="A192" s="881" t="s">
        <v>1042</v>
      </c>
      <c r="B192" s="162">
        <v>4</v>
      </c>
      <c r="C192" s="139" t="s">
        <v>90</v>
      </c>
      <c r="D192" s="139" t="s">
        <v>90</v>
      </c>
      <c r="E192" s="139" t="s">
        <v>90</v>
      </c>
      <c r="F192" s="882" t="str">
        <f t="shared" si="60"/>
        <v>-</v>
      </c>
      <c r="G192" s="153" t="str">
        <f t="shared" si="61"/>
        <v>-</v>
      </c>
      <c r="H192" s="139" t="s">
        <v>90</v>
      </c>
      <c r="I192" s="323"/>
      <c r="J192" s="1461"/>
      <c r="K192" s="1462"/>
      <c r="L192" s="1462"/>
      <c r="M192" s="1463"/>
      <c r="P192" s="699" t="s">
        <v>87</v>
      </c>
      <c r="Z192" s="699" t="s">
        <v>87</v>
      </c>
    </row>
    <row r="193" spans="1:26" x14ac:dyDescent="0.2">
      <c r="A193" s="879" t="s">
        <v>1027</v>
      </c>
      <c r="B193" s="883"/>
      <c r="C193" s="884"/>
      <c r="D193" s="884"/>
      <c r="E193" s="884"/>
      <c r="F193" s="885">
        <f>SUM(F194:F196)</f>
        <v>0</v>
      </c>
      <c r="G193" s="886">
        <f>SUM(G194:G196)</f>
        <v>0</v>
      </c>
      <c r="H193" s="884"/>
      <c r="I193" s="884"/>
      <c r="J193" s="1454" t="s">
        <v>1039</v>
      </c>
      <c r="K193" s="1455"/>
      <c r="L193" s="1455"/>
      <c r="M193" s="1456"/>
      <c r="P193" s="699" t="s">
        <v>87</v>
      </c>
      <c r="Z193" s="699" t="s">
        <v>87</v>
      </c>
    </row>
    <row r="194" spans="1:26" x14ac:dyDescent="0.2">
      <c r="A194" s="880" t="s">
        <v>1040</v>
      </c>
      <c r="B194" s="169">
        <v>5</v>
      </c>
      <c r="C194" s="149" t="s">
        <v>90</v>
      </c>
      <c r="D194" s="149" t="s">
        <v>90</v>
      </c>
      <c r="E194" s="149" t="s">
        <v>90</v>
      </c>
      <c r="F194" s="282" t="str">
        <f t="shared" si="60"/>
        <v>-</v>
      </c>
      <c r="G194" s="282" t="str">
        <f t="shared" ref="G194:G196" si="62">IF(OR(C194&lt;&gt;"-",D194&lt;&gt;"-"),MAX(0,SUM(C194)-SUM(D194)),"-")</f>
        <v>-</v>
      </c>
      <c r="H194" s="149" t="s">
        <v>90</v>
      </c>
      <c r="I194" s="230"/>
      <c r="J194" s="1460"/>
      <c r="K194" s="1458"/>
      <c r="L194" s="1458"/>
      <c r="M194" s="1459"/>
      <c r="P194" s="699" t="s">
        <v>87</v>
      </c>
      <c r="Z194" s="699" t="s">
        <v>87</v>
      </c>
    </row>
    <row r="195" spans="1:26" x14ac:dyDescent="0.2">
      <c r="A195" s="880" t="s">
        <v>1041</v>
      </c>
      <c r="B195" s="169">
        <v>6</v>
      </c>
      <c r="C195" s="137" t="s">
        <v>90</v>
      </c>
      <c r="D195" s="137" t="s">
        <v>90</v>
      </c>
      <c r="E195" s="137" t="s">
        <v>90</v>
      </c>
      <c r="F195" s="152" t="str">
        <f t="shared" si="60"/>
        <v>-</v>
      </c>
      <c r="G195" s="285" t="str">
        <f t="shared" si="62"/>
        <v>-</v>
      </c>
      <c r="H195" s="137" t="s">
        <v>90</v>
      </c>
      <c r="I195" s="230"/>
      <c r="J195" s="1460"/>
      <c r="K195" s="1458"/>
      <c r="L195" s="1458"/>
      <c r="M195" s="1459"/>
      <c r="P195" s="699" t="s">
        <v>87</v>
      </c>
      <c r="Z195" s="699" t="s">
        <v>87</v>
      </c>
    </row>
    <row r="196" spans="1:26" x14ac:dyDescent="0.2">
      <c r="A196" s="881" t="s">
        <v>1042</v>
      </c>
      <c r="B196" s="162">
        <v>7</v>
      </c>
      <c r="C196" s="139" t="s">
        <v>90</v>
      </c>
      <c r="D196" s="139" t="s">
        <v>90</v>
      </c>
      <c r="E196" s="139" t="s">
        <v>90</v>
      </c>
      <c r="F196" s="882" t="str">
        <f t="shared" si="60"/>
        <v>-</v>
      </c>
      <c r="G196" s="153" t="str">
        <f t="shared" si="62"/>
        <v>-</v>
      </c>
      <c r="H196" s="139" t="s">
        <v>90</v>
      </c>
      <c r="I196" s="323"/>
      <c r="J196" s="1461"/>
      <c r="K196" s="1462"/>
      <c r="L196" s="1462"/>
      <c r="M196" s="1463"/>
      <c r="P196" s="699" t="s">
        <v>87</v>
      </c>
      <c r="Z196" s="699" t="s">
        <v>87</v>
      </c>
    </row>
    <row r="197" spans="1:26" x14ac:dyDescent="0.2">
      <c r="A197" s="879" t="s">
        <v>1028</v>
      </c>
      <c r="B197" s="883">
        <v>8</v>
      </c>
      <c r="C197" s="225"/>
      <c r="D197" s="225"/>
      <c r="E197" s="225"/>
      <c r="F197" s="885">
        <f>SUM(F199:F206)</f>
        <v>0</v>
      </c>
      <c r="G197" s="565">
        <f>SUM(G199:G206)</f>
        <v>0</v>
      </c>
      <c r="H197" s="225"/>
      <c r="I197" s="225"/>
      <c r="J197" s="1454"/>
      <c r="K197" s="1455"/>
      <c r="L197" s="1455"/>
      <c r="M197" s="1456"/>
      <c r="P197" s="699" t="s">
        <v>87</v>
      </c>
      <c r="Z197" s="699" t="s">
        <v>87</v>
      </c>
    </row>
    <row r="198" spans="1:26" x14ac:dyDescent="0.2">
      <c r="A198" s="880" t="s">
        <v>1040</v>
      </c>
      <c r="B198" s="169"/>
      <c r="C198" s="230"/>
      <c r="D198" s="230"/>
      <c r="E198" s="230"/>
      <c r="F198" s="230"/>
      <c r="G198" s="230"/>
      <c r="H198" s="230"/>
      <c r="I198" s="230"/>
      <c r="J198" s="1457"/>
      <c r="K198" s="1458"/>
      <c r="L198" s="1458"/>
      <c r="M198" s="1459"/>
      <c r="P198" s="699" t="s">
        <v>87</v>
      </c>
      <c r="Z198" s="699" t="s">
        <v>87</v>
      </c>
    </row>
    <row r="199" spans="1:26" x14ac:dyDescent="0.2">
      <c r="A199" s="287" t="s">
        <v>1043</v>
      </c>
      <c r="B199" s="169">
        <v>9</v>
      </c>
      <c r="C199" s="149" t="s">
        <v>90</v>
      </c>
      <c r="D199" s="149" t="s">
        <v>90</v>
      </c>
      <c r="E199" s="149" t="s">
        <v>90</v>
      </c>
      <c r="F199" s="282" t="str">
        <f t="shared" ref="F199:F206" si="63">IF(OR(C199&lt;&gt;"-",D199&lt;&gt;"-",E199&lt;&gt;"-"),MAX(0,SUM(C199)-SUM(D199)-SUM(E199)),"-")</f>
        <v>-</v>
      </c>
      <c r="G199" s="282" t="str">
        <f t="shared" ref="G199:G200" si="64">IF(OR(C199&lt;&gt;"-",D199&lt;&gt;"-"),MAX(0,SUM(C199)-SUM(D199)),"-")</f>
        <v>-</v>
      </c>
      <c r="H199" s="149" t="s">
        <v>90</v>
      </c>
      <c r="I199" s="742"/>
      <c r="J199" s="1460"/>
      <c r="K199" s="1458"/>
      <c r="L199" s="1458"/>
      <c r="M199" s="1459"/>
      <c r="P199" s="699" t="s">
        <v>87</v>
      </c>
      <c r="Z199" s="699" t="s">
        <v>87</v>
      </c>
    </row>
    <row r="200" spans="1:26" x14ac:dyDescent="0.2">
      <c r="A200" s="287" t="s">
        <v>1044</v>
      </c>
      <c r="B200" s="169">
        <v>10</v>
      </c>
      <c r="C200" s="139" t="s">
        <v>90</v>
      </c>
      <c r="D200" s="139" t="s">
        <v>90</v>
      </c>
      <c r="E200" s="139" t="s">
        <v>90</v>
      </c>
      <c r="F200" s="882" t="str">
        <f t="shared" si="63"/>
        <v>-</v>
      </c>
      <c r="G200" s="153" t="str">
        <f t="shared" si="64"/>
        <v>-</v>
      </c>
      <c r="H200" s="323"/>
      <c r="I200" s="139" t="s">
        <v>90</v>
      </c>
      <c r="J200" s="1460"/>
      <c r="K200" s="1458"/>
      <c r="L200" s="1458"/>
      <c r="M200" s="1459"/>
      <c r="P200" s="699" t="s">
        <v>87</v>
      </c>
      <c r="Z200" s="699" t="s">
        <v>87</v>
      </c>
    </row>
    <row r="201" spans="1:26" x14ac:dyDescent="0.2">
      <c r="A201" s="880" t="s">
        <v>1041</v>
      </c>
      <c r="B201" s="169"/>
      <c r="C201" s="230"/>
      <c r="D201" s="230"/>
      <c r="E201" s="230"/>
      <c r="F201" s="230"/>
      <c r="G201" s="230"/>
      <c r="H201" s="230"/>
      <c r="I201" s="230"/>
      <c r="J201" s="1457"/>
      <c r="K201" s="1458"/>
      <c r="L201" s="1458"/>
      <c r="M201" s="1459"/>
      <c r="P201" s="699" t="s">
        <v>87</v>
      </c>
      <c r="Z201" s="699" t="s">
        <v>87</v>
      </c>
    </row>
    <row r="202" spans="1:26" x14ac:dyDescent="0.2">
      <c r="A202" s="287" t="s">
        <v>1043</v>
      </c>
      <c r="B202" s="169">
        <v>11</v>
      </c>
      <c r="C202" s="149" t="s">
        <v>90</v>
      </c>
      <c r="D202" s="149" t="s">
        <v>90</v>
      </c>
      <c r="E202" s="149" t="s">
        <v>90</v>
      </c>
      <c r="F202" s="282" t="str">
        <f t="shared" si="63"/>
        <v>-</v>
      </c>
      <c r="G202" s="282" t="str">
        <f t="shared" ref="G202:G203" si="65">IF(OR(C202&lt;&gt;"-",D202&lt;&gt;"-"),MAX(0,SUM(C202)-SUM(D202)),"-")</f>
        <v>-</v>
      </c>
      <c r="H202" s="149" t="s">
        <v>90</v>
      </c>
      <c r="I202" s="742"/>
      <c r="J202" s="1460"/>
      <c r="K202" s="1458"/>
      <c r="L202" s="1458"/>
      <c r="M202" s="1459"/>
      <c r="P202" s="699" t="s">
        <v>87</v>
      </c>
      <c r="Z202" s="699" t="s">
        <v>87</v>
      </c>
    </row>
    <row r="203" spans="1:26" x14ac:dyDescent="0.2">
      <c r="A203" s="287" t="s">
        <v>1044</v>
      </c>
      <c r="B203" s="169">
        <v>12</v>
      </c>
      <c r="C203" s="139" t="s">
        <v>90</v>
      </c>
      <c r="D203" s="139" t="s">
        <v>90</v>
      </c>
      <c r="E203" s="139" t="s">
        <v>90</v>
      </c>
      <c r="F203" s="882" t="str">
        <f t="shared" si="63"/>
        <v>-</v>
      </c>
      <c r="G203" s="153" t="str">
        <f t="shared" si="65"/>
        <v>-</v>
      </c>
      <c r="H203" s="323"/>
      <c r="I203" s="139" t="s">
        <v>90</v>
      </c>
      <c r="J203" s="1460"/>
      <c r="K203" s="1458"/>
      <c r="L203" s="1458"/>
      <c r="M203" s="1459"/>
      <c r="P203" s="699" t="s">
        <v>87</v>
      </c>
      <c r="Z203" s="699" t="s">
        <v>87</v>
      </c>
    </row>
    <row r="204" spans="1:26" x14ac:dyDescent="0.2">
      <c r="A204" s="880" t="s">
        <v>1042</v>
      </c>
      <c r="B204" s="169"/>
      <c r="C204" s="230"/>
      <c r="D204" s="230"/>
      <c r="E204" s="230"/>
      <c r="F204" s="230"/>
      <c r="G204" s="230"/>
      <c r="H204" s="230"/>
      <c r="I204" s="230"/>
      <c r="J204" s="1457"/>
      <c r="K204" s="1458"/>
      <c r="L204" s="1458"/>
      <c r="M204" s="1459"/>
      <c r="P204" s="699" t="s">
        <v>87</v>
      </c>
      <c r="Z204" s="699" t="s">
        <v>87</v>
      </c>
    </row>
    <row r="205" spans="1:26" x14ac:dyDescent="0.2">
      <c r="A205" s="287" t="s">
        <v>1043</v>
      </c>
      <c r="B205" s="169">
        <v>13</v>
      </c>
      <c r="C205" s="149" t="s">
        <v>90</v>
      </c>
      <c r="D205" s="149" t="s">
        <v>90</v>
      </c>
      <c r="E205" s="149" t="s">
        <v>90</v>
      </c>
      <c r="F205" s="282" t="str">
        <f t="shared" si="63"/>
        <v>-</v>
      </c>
      <c r="G205" s="282" t="str">
        <f t="shared" ref="G205:G206" si="66">IF(OR(C205&lt;&gt;"-",D205&lt;&gt;"-"),MAX(0,SUM(C205)-SUM(D205)),"-")</f>
        <v>-</v>
      </c>
      <c r="H205" s="149" t="s">
        <v>90</v>
      </c>
      <c r="I205" s="742"/>
      <c r="J205" s="1460"/>
      <c r="K205" s="1458"/>
      <c r="L205" s="1458"/>
      <c r="M205" s="1459"/>
      <c r="P205" s="699" t="s">
        <v>87</v>
      </c>
      <c r="Z205" s="699" t="s">
        <v>87</v>
      </c>
    </row>
    <row r="206" spans="1:26" x14ac:dyDescent="0.2">
      <c r="A206" s="291" t="s">
        <v>1044</v>
      </c>
      <c r="B206" s="162">
        <v>14</v>
      </c>
      <c r="C206" s="139" t="s">
        <v>90</v>
      </c>
      <c r="D206" s="139" t="s">
        <v>90</v>
      </c>
      <c r="E206" s="139" t="s">
        <v>90</v>
      </c>
      <c r="F206" s="882" t="str">
        <f t="shared" si="63"/>
        <v>-</v>
      </c>
      <c r="G206" s="153" t="str">
        <f t="shared" si="66"/>
        <v>-</v>
      </c>
      <c r="H206" s="323"/>
      <c r="I206" s="139" t="s">
        <v>90</v>
      </c>
      <c r="J206" s="1461"/>
      <c r="K206" s="1462"/>
      <c r="L206" s="1462"/>
      <c r="M206" s="1463"/>
      <c r="P206" s="699" t="s">
        <v>87</v>
      </c>
      <c r="Z206" s="699" t="s">
        <v>87</v>
      </c>
    </row>
    <row r="207" spans="1:26" x14ac:dyDescent="0.2">
      <c r="A207" s="879" t="s">
        <v>1029</v>
      </c>
      <c r="B207" s="883">
        <v>15</v>
      </c>
      <c r="C207" s="225"/>
      <c r="D207" s="225"/>
      <c r="E207" s="225"/>
      <c r="F207" s="885">
        <f>SUM(F209:F216)</f>
        <v>0</v>
      </c>
      <c r="G207" s="565">
        <f>SUM(G209:G216)</f>
        <v>0</v>
      </c>
      <c r="H207" s="225"/>
      <c r="I207" s="225"/>
      <c r="J207" s="1454"/>
      <c r="K207" s="1455"/>
      <c r="L207" s="1455"/>
      <c r="M207" s="1456"/>
      <c r="P207" s="699" t="s">
        <v>87</v>
      </c>
      <c r="Z207" s="699" t="s">
        <v>87</v>
      </c>
    </row>
    <row r="208" spans="1:26" x14ac:dyDescent="0.2">
      <c r="A208" s="880" t="s">
        <v>1040</v>
      </c>
      <c r="B208" s="169"/>
      <c r="C208" s="230"/>
      <c r="D208" s="230"/>
      <c r="E208" s="230"/>
      <c r="F208" s="230"/>
      <c r="G208" s="230"/>
      <c r="H208" s="230"/>
      <c r="I208" s="230"/>
      <c r="J208" s="1457"/>
      <c r="K208" s="1458"/>
      <c r="L208" s="1458"/>
      <c r="M208" s="1459"/>
      <c r="P208" s="699" t="s">
        <v>87</v>
      </c>
      <c r="Z208" s="699" t="s">
        <v>87</v>
      </c>
    </row>
    <row r="209" spans="1:26" x14ac:dyDescent="0.2">
      <c r="A209" s="287" t="s">
        <v>1043</v>
      </c>
      <c r="B209" s="169">
        <v>16</v>
      </c>
      <c r="C209" s="149" t="s">
        <v>90</v>
      </c>
      <c r="D209" s="149" t="s">
        <v>90</v>
      </c>
      <c r="E209" s="149" t="s">
        <v>90</v>
      </c>
      <c r="F209" s="282" t="str">
        <f t="shared" ref="F209:F216" si="67">IF(OR(C209&lt;&gt;"-",D209&lt;&gt;"-",E209&lt;&gt;"-"),MAX(0,SUM(C209)-SUM(D209)-SUM(E209)),"-")</f>
        <v>-</v>
      </c>
      <c r="G209" s="282" t="str">
        <f t="shared" ref="G209:G210" si="68">IF(OR(C209&lt;&gt;"-",D209&lt;&gt;"-"),MAX(0,SUM(C209)-SUM(D209)),"-")</f>
        <v>-</v>
      </c>
      <c r="H209" s="149" t="s">
        <v>90</v>
      </c>
      <c r="I209" s="742"/>
      <c r="J209" s="1460"/>
      <c r="K209" s="1458"/>
      <c r="L209" s="1458"/>
      <c r="M209" s="1459"/>
      <c r="P209" s="699" t="s">
        <v>87</v>
      </c>
      <c r="Z209" s="699" t="s">
        <v>87</v>
      </c>
    </row>
    <row r="210" spans="1:26" x14ac:dyDescent="0.2">
      <c r="A210" s="287" t="s">
        <v>1044</v>
      </c>
      <c r="B210" s="169">
        <v>17</v>
      </c>
      <c r="C210" s="139" t="s">
        <v>90</v>
      </c>
      <c r="D210" s="139" t="s">
        <v>90</v>
      </c>
      <c r="E210" s="139" t="s">
        <v>90</v>
      </c>
      <c r="F210" s="882" t="str">
        <f t="shared" si="67"/>
        <v>-</v>
      </c>
      <c r="G210" s="153" t="str">
        <f t="shared" si="68"/>
        <v>-</v>
      </c>
      <c r="H210" s="323"/>
      <c r="I210" s="139" t="s">
        <v>90</v>
      </c>
      <c r="J210" s="1460"/>
      <c r="K210" s="1458"/>
      <c r="L210" s="1458"/>
      <c r="M210" s="1459"/>
      <c r="P210" s="699" t="s">
        <v>87</v>
      </c>
      <c r="Z210" s="699" t="s">
        <v>87</v>
      </c>
    </row>
    <row r="211" spans="1:26" x14ac:dyDescent="0.2">
      <c r="A211" s="880" t="s">
        <v>1041</v>
      </c>
      <c r="B211" s="169"/>
      <c r="C211" s="230"/>
      <c r="D211" s="230"/>
      <c r="E211" s="230"/>
      <c r="F211" s="230"/>
      <c r="G211" s="230"/>
      <c r="H211" s="230"/>
      <c r="I211" s="230"/>
      <c r="J211" s="1457"/>
      <c r="K211" s="1458"/>
      <c r="L211" s="1458"/>
      <c r="M211" s="1459"/>
      <c r="P211" s="699" t="s">
        <v>87</v>
      </c>
      <c r="Z211" s="699" t="s">
        <v>87</v>
      </c>
    </row>
    <row r="212" spans="1:26" x14ac:dyDescent="0.2">
      <c r="A212" s="287" t="s">
        <v>1043</v>
      </c>
      <c r="B212" s="169">
        <v>18</v>
      </c>
      <c r="C212" s="149" t="s">
        <v>90</v>
      </c>
      <c r="D212" s="149" t="s">
        <v>90</v>
      </c>
      <c r="E212" s="149" t="s">
        <v>90</v>
      </c>
      <c r="F212" s="282" t="str">
        <f t="shared" si="67"/>
        <v>-</v>
      </c>
      <c r="G212" s="282" t="str">
        <f t="shared" ref="G212:G213" si="69">IF(OR(C212&lt;&gt;"-",D212&lt;&gt;"-"),MAX(0,SUM(C212)-SUM(D212)),"-")</f>
        <v>-</v>
      </c>
      <c r="H212" s="149" t="s">
        <v>90</v>
      </c>
      <c r="I212" s="742"/>
      <c r="J212" s="1460"/>
      <c r="K212" s="1458"/>
      <c r="L212" s="1458"/>
      <c r="M212" s="1459"/>
      <c r="P212" s="699" t="s">
        <v>87</v>
      </c>
      <c r="Z212" s="699" t="s">
        <v>87</v>
      </c>
    </row>
    <row r="213" spans="1:26" x14ac:dyDescent="0.2">
      <c r="A213" s="287" t="s">
        <v>1044</v>
      </c>
      <c r="B213" s="169">
        <v>19</v>
      </c>
      <c r="C213" s="139" t="s">
        <v>90</v>
      </c>
      <c r="D213" s="139" t="s">
        <v>90</v>
      </c>
      <c r="E213" s="139" t="s">
        <v>90</v>
      </c>
      <c r="F213" s="882" t="str">
        <f t="shared" si="67"/>
        <v>-</v>
      </c>
      <c r="G213" s="153" t="str">
        <f t="shared" si="69"/>
        <v>-</v>
      </c>
      <c r="H213" s="323"/>
      <c r="I213" s="139" t="s">
        <v>90</v>
      </c>
      <c r="J213" s="1460"/>
      <c r="K213" s="1458"/>
      <c r="L213" s="1458"/>
      <c r="M213" s="1459"/>
      <c r="P213" s="699" t="s">
        <v>87</v>
      </c>
      <c r="Z213" s="699" t="s">
        <v>87</v>
      </c>
    </row>
    <row r="214" spans="1:26" x14ac:dyDescent="0.2">
      <c r="A214" s="880" t="s">
        <v>1042</v>
      </c>
      <c r="B214" s="169"/>
      <c r="C214" s="230"/>
      <c r="D214" s="230"/>
      <c r="E214" s="230"/>
      <c r="F214" s="230"/>
      <c r="G214" s="230"/>
      <c r="H214" s="230"/>
      <c r="I214" s="230"/>
      <c r="J214" s="1457"/>
      <c r="K214" s="1458"/>
      <c r="L214" s="1458"/>
      <c r="M214" s="1459"/>
      <c r="P214" s="699" t="s">
        <v>87</v>
      </c>
      <c r="Z214" s="699" t="s">
        <v>87</v>
      </c>
    </row>
    <row r="215" spans="1:26" x14ac:dyDescent="0.2">
      <c r="A215" s="287" t="s">
        <v>1043</v>
      </c>
      <c r="B215" s="169">
        <v>20</v>
      </c>
      <c r="C215" s="149" t="s">
        <v>90</v>
      </c>
      <c r="D215" s="149" t="s">
        <v>90</v>
      </c>
      <c r="E215" s="149" t="s">
        <v>90</v>
      </c>
      <c r="F215" s="282" t="str">
        <f t="shared" si="67"/>
        <v>-</v>
      </c>
      <c r="G215" s="282" t="str">
        <f t="shared" ref="G215:G216" si="70">IF(OR(C215&lt;&gt;"-",D215&lt;&gt;"-"),MAX(0,SUM(C215)-SUM(D215)),"-")</f>
        <v>-</v>
      </c>
      <c r="H215" s="149" t="s">
        <v>90</v>
      </c>
      <c r="I215" s="742"/>
      <c r="J215" s="1460"/>
      <c r="K215" s="1458"/>
      <c r="L215" s="1458"/>
      <c r="M215" s="1459"/>
      <c r="P215" s="699" t="s">
        <v>87</v>
      </c>
      <c r="Z215" s="699" t="s">
        <v>87</v>
      </c>
    </row>
    <row r="216" spans="1:26" x14ac:dyDescent="0.2">
      <c r="A216" s="291" t="s">
        <v>1044</v>
      </c>
      <c r="B216" s="162">
        <v>21</v>
      </c>
      <c r="C216" s="139" t="s">
        <v>90</v>
      </c>
      <c r="D216" s="139" t="s">
        <v>90</v>
      </c>
      <c r="E216" s="139" t="s">
        <v>90</v>
      </c>
      <c r="F216" s="882" t="str">
        <f t="shared" si="67"/>
        <v>-</v>
      </c>
      <c r="G216" s="153" t="str">
        <f t="shared" si="70"/>
        <v>-</v>
      </c>
      <c r="H216" s="323"/>
      <c r="I216" s="139" t="s">
        <v>90</v>
      </c>
      <c r="J216" s="1461"/>
      <c r="K216" s="1462"/>
      <c r="L216" s="1462"/>
      <c r="M216" s="1463"/>
      <c r="P216" s="699" t="s">
        <v>87</v>
      </c>
      <c r="Z216" s="699" t="s">
        <v>87</v>
      </c>
    </row>
    <row r="217" spans="1:26" x14ac:dyDescent="0.2">
      <c r="A217" s="879" t="s">
        <v>1030</v>
      </c>
      <c r="B217" s="883">
        <v>22</v>
      </c>
      <c r="C217" s="225"/>
      <c r="D217" s="225"/>
      <c r="E217" s="225"/>
      <c r="F217" s="885">
        <f>SUM(F219:F226)</f>
        <v>0</v>
      </c>
      <c r="G217" s="565">
        <f>SUM(G219:G226)</f>
        <v>0</v>
      </c>
      <c r="H217" s="225"/>
      <c r="I217" s="225"/>
      <c r="J217" s="1454"/>
      <c r="K217" s="1455"/>
      <c r="L217" s="1455"/>
      <c r="M217" s="1456"/>
      <c r="P217" s="699" t="s">
        <v>87</v>
      </c>
      <c r="Z217" s="699" t="s">
        <v>87</v>
      </c>
    </row>
    <row r="218" spans="1:26" x14ac:dyDescent="0.2">
      <c r="A218" s="880" t="s">
        <v>1040</v>
      </c>
      <c r="B218" s="169"/>
      <c r="C218" s="230"/>
      <c r="D218" s="230"/>
      <c r="E218" s="230"/>
      <c r="F218" s="230"/>
      <c r="G218" s="230"/>
      <c r="H218" s="230"/>
      <c r="I218" s="230"/>
      <c r="J218" s="1457"/>
      <c r="K218" s="1458"/>
      <c r="L218" s="1458"/>
      <c r="M218" s="1459"/>
      <c r="P218" s="699" t="s">
        <v>87</v>
      </c>
      <c r="Z218" s="699" t="s">
        <v>87</v>
      </c>
    </row>
    <row r="219" spans="1:26" x14ac:dyDescent="0.2">
      <c r="A219" s="287" t="s">
        <v>1043</v>
      </c>
      <c r="B219" s="169">
        <v>23</v>
      </c>
      <c r="C219" s="149" t="s">
        <v>90</v>
      </c>
      <c r="D219" s="149" t="s">
        <v>90</v>
      </c>
      <c r="E219" s="149" t="s">
        <v>90</v>
      </c>
      <c r="F219" s="282" t="str">
        <f t="shared" ref="F219:F226" si="71">IF(OR(C219&lt;&gt;"-",D219&lt;&gt;"-",E219&lt;&gt;"-"),MAX(0,SUM(C219)-SUM(D219)-SUM(E219)),"-")</f>
        <v>-</v>
      </c>
      <c r="G219" s="282" t="str">
        <f t="shared" ref="G219:G220" si="72">IF(OR(C219&lt;&gt;"-",D219&lt;&gt;"-"),MAX(0,SUM(C219)-SUM(D219)),"-")</f>
        <v>-</v>
      </c>
      <c r="H219" s="149" t="s">
        <v>90</v>
      </c>
      <c r="I219" s="742"/>
      <c r="J219" s="1460"/>
      <c r="K219" s="1458"/>
      <c r="L219" s="1458"/>
      <c r="M219" s="1459"/>
      <c r="P219" s="699" t="s">
        <v>87</v>
      </c>
      <c r="Z219" s="699" t="s">
        <v>87</v>
      </c>
    </row>
    <row r="220" spans="1:26" x14ac:dyDescent="0.2">
      <c r="A220" s="287" t="s">
        <v>1044</v>
      </c>
      <c r="B220" s="169">
        <v>24</v>
      </c>
      <c r="C220" s="139" t="s">
        <v>90</v>
      </c>
      <c r="D220" s="139" t="s">
        <v>90</v>
      </c>
      <c r="E220" s="139" t="s">
        <v>90</v>
      </c>
      <c r="F220" s="882" t="str">
        <f t="shared" si="71"/>
        <v>-</v>
      </c>
      <c r="G220" s="153" t="str">
        <f t="shared" si="72"/>
        <v>-</v>
      </c>
      <c r="H220" s="323"/>
      <c r="I220" s="139" t="s">
        <v>90</v>
      </c>
      <c r="J220" s="1460"/>
      <c r="K220" s="1458"/>
      <c r="L220" s="1458"/>
      <c r="M220" s="1459"/>
      <c r="P220" s="699" t="s">
        <v>87</v>
      </c>
      <c r="Z220" s="699" t="s">
        <v>87</v>
      </c>
    </row>
    <row r="221" spans="1:26" x14ac:dyDescent="0.2">
      <c r="A221" s="880" t="s">
        <v>1041</v>
      </c>
      <c r="B221" s="169"/>
      <c r="C221" s="230"/>
      <c r="D221" s="230"/>
      <c r="E221" s="230"/>
      <c r="F221" s="230"/>
      <c r="G221" s="230"/>
      <c r="H221" s="230"/>
      <c r="I221" s="230"/>
      <c r="J221" s="1457"/>
      <c r="K221" s="1458"/>
      <c r="L221" s="1458"/>
      <c r="M221" s="1459"/>
      <c r="P221" s="699" t="s">
        <v>87</v>
      </c>
      <c r="Z221" s="699" t="s">
        <v>87</v>
      </c>
    </row>
    <row r="222" spans="1:26" x14ac:dyDescent="0.2">
      <c r="A222" s="287" t="s">
        <v>1043</v>
      </c>
      <c r="B222" s="169">
        <v>25</v>
      </c>
      <c r="C222" s="149" t="s">
        <v>90</v>
      </c>
      <c r="D222" s="149" t="s">
        <v>90</v>
      </c>
      <c r="E222" s="149" t="s">
        <v>90</v>
      </c>
      <c r="F222" s="282" t="str">
        <f t="shared" si="71"/>
        <v>-</v>
      </c>
      <c r="G222" s="282" t="str">
        <f t="shared" ref="G222:G223" si="73">IF(OR(C222&lt;&gt;"-",D222&lt;&gt;"-"),MAX(0,SUM(C222)-SUM(D222)),"-")</f>
        <v>-</v>
      </c>
      <c r="H222" s="149" t="s">
        <v>90</v>
      </c>
      <c r="I222" s="742"/>
      <c r="J222" s="1460"/>
      <c r="K222" s="1458"/>
      <c r="L222" s="1458"/>
      <c r="M222" s="1459"/>
      <c r="P222" s="699" t="s">
        <v>87</v>
      </c>
      <c r="Z222" s="699" t="s">
        <v>87</v>
      </c>
    </row>
    <row r="223" spans="1:26" x14ac:dyDescent="0.2">
      <c r="A223" s="287" t="s">
        <v>1044</v>
      </c>
      <c r="B223" s="169">
        <v>26</v>
      </c>
      <c r="C223" s="139" t="s">
        <v>90</v>
      </c>
      <c r="D223" s="139" t="s">
        <v>90</v>
      </c>
      <c r="E223" s="139" t="s">
        <v>90</v>
      </c>
      <c r="F223" s="882" t="str">
        <f t="shared" si="71"/>
        <v>-</v>
      </c>
      <c r="G223" s="153" t="str">
        <f t="shared" si="73"/>
        <v>-</v>
      </c>
      <c r="H223" s="323"/>
      <c r="I223" s="139" t="s">
        <v>90</v>
      </c>
      <c r="J223" s="1460"/>
      <c r="K223" s="1458"/>
      <c r="L223" s="1458"/>
      <c r="M223" s="1459"/>
      <c r="P223" s="699" t="s">
        <v>87</v>
      </c>
      <c r="Z223" s="699" t="s">
        <v>87</v>
      </c>
    </row>
    <row r="224" spans="1:26" x14ac:dyDescent="0.2">
      <c r="A224" s="880" t="s">
        <v>1042</v>
      </c>
      <c r="B224" s="169"/>
      <c r="C224" s="230"/>
      <c r="D224" s="230"/>
      <c r="E224" s="230"/>
      <c r="F224" s="230"/>
      <c r="G224" s="230"/>
      <c r="H224" s="230"/>
      <c r="I224" s="230"/>
      <c r="J224" s="1457"/>
      <c r="K224" s="1458"/>
      <c r="L224" s="1458"/>
      <c r="M224" s="1459"/>
      <c r="P224" s="699" t="s">
        <v>87</v>
      </c>
      <c r="Z224" s="699" t="s">
        <v>87</v>
      </c>
    </row>
    <row r="225" spans="1:26" x14ac:dyDescent="0.2">
      <c r="A225" s="287" t="s">
        <v>1043</v>
      </c>
      <c r="B225" s="169">
        <v>27</v>
      </c>
      <c r="C225" s="149" t="s">
        <v>90</v>
      </c>
      <c r="D225" s="149" t="s">
        <v>90</v>
      </c>
      <c r="E225" s="149" t="s">
        <v>90</v>
      </c>
      <c r="F225" s="282" t="str">
        <f t="shared" si="71"/>
        <v>-</v>
      </c>
      <c r="G225" s="282" t="str">
        <f t="shared" ref="G225:G226" si="74">IF(OR(C225&lt;&gt;"-",D225&lt;&gt;"-"),MAX(0,SUM(C225)-SUM(D225)),"-")</f>
        <v>-</v>
      </c>
      <c r="H225" s="149" t="s">
        <v>90</v>
      </c>
      <c r="I225" s="742"/>
      <c r="J225" s="1460"/>
      <c r="K225" s="1458"/>
      <c r="L225" s="1458"/>
      <c r="M225" s="1459"/>
      <c r="P225" s="699" t="s">
        <v>87</v>
      </c>
      <c r="Z225" s="699" t="s">
        <v>87</v>
      </c>
    </row>
    <row r="226" spans="1:26" x14ac:dyDescent="0.2">
      <c r="A226" s="291" t="s">
        <v>1044</v>
      </c>
      <c r="B226" s="162">
        <v>28</v>
      </c>
      <c r="C226" s="139" t="s">
        <v>90</v>
      </c>
      <c r="D226" s="139" t="s">
        <v>90</v>
      </c>
      <c r="E226" s="139" t="s">
        <v>90</v>
      </c>
      <c r="F226" s="882" t="str">
        <f t="shared" si="71"/>
        <v>-</v>
      </c>
      <c r="G226" s="153" t="str">
        <f t="shared" si="74"/>
        <v>-</v>
      </c>
      <c r="H226" s="323"/>
      <c r="I226" s="139" t="s">
        <v>90</v>
      </c>
      <c r="J226" s="1461"/>
      <c r="K226" s="1462"/>
      <c r="L226" s="1462"/>
      <c r="M226" s="1463"/>
      <c r="P226" s="699" t="s">
        <v>87</v>
      </c>
      <c r="Z226" s="699" t="s">
        <v>87</v>
      </c>
    </row>
    <row r="227" spans="1:26" x14ac:dyDescent="0.2">
      <c r="P227" s="699" t="s">
        <v>87</v>
      </c>
      <c r="Z227" s="699" t="s">
        <v>87</v>
      </c>
    </row>
    <row r="228" spans="1:26" ht="14.25" x14ac:dyDescent="0.2">
      <c r="A228" s="874" t="s">
        <v>1034</v>
      </c>
      <c r="B228" s="875"/>
      <c r="C228" s="864" t="s">
        <v>1016</v>
      </c>
      <c r="F228" s="328" t="s">
        <v>1017</v>
      </c>
      <c r="G228" s="331"/>
      <c r="P228" s="699" t="s">
        <v>87</v>
      </c>
      <c r="Z228" s="699" t="s">
        <v>87</v>
      </c>
    </row>
    <row r="229" spans="1:26" ht="63.75" x14ac:dyDescent="0.2">
      <c r="A229" s="876" t="s">
        <v>725</v>
      </c>
      <c r="B229" s="877"/>
      <c r="C229" s="278" t="s">
        <v>1019</v>
      </c>
      <c r="D229" s="278" t="s">
        <v>1035</v>
      </c>
      <c r="E229" s="278" t="s">
        <v>990</v>
      </c>
      <c r="F229" s="278" t="s">
        <v>691</v>
      </c>
      <c r="G229" s="278" t="s">
        <v>690</v>
      </c>
      <c r="H229" s="278" t="s">
        <v>1036</v>
      </c>
      <c r="I229" s="278" t="s">
        <v>1037</v>
      </c>
      <c r="J229" s="1432" t="s">
        <v>1038</v>
      </c>
      <c r="K229" s="1433"/>
      <c r="L229" s="1433"/>
      <c r="M229" s="1434"/>
      <c r="P229" s="699" t="s">
        <v>87</v>
      </c>
      <c r="Z229" s="699" t="s">
        <v>87</v>
      </c>
    </row>
    <row r="230" spans="1:26" ht="14.25" x14ac:dyDescent="0.2">
      <c r="A230" s="878"/>
      <c r="B230" s="124">
        <v>86</v>
      </c>
      <c r="C230" s="105">
        <v>1</v>
      </c>
      <c r="D230" s="105">
        <v>2</v>
      </c>
      <c r="E230" s="105">
        <v>3</v>
      </c>
      <c r="F230" s="167" t="s">
        <v>1021</v>
      </c>
      <c r="G230" s="214" t="s">
        <v>1022</v>
      </c>
      <c r="H230" s="167">
        <v>6</v>
      </c>
      <c r="I230" s="167">
        <v>7</v>
      </c>
      <c r="J230" s="1465">
        <v>8</v>
      </c>
      <c r="K230" s="1465"/>
      <c r="L230" s="1465"/>
      <c r="M230" s="1466"/>
      <c r="P230" s="699" t="s">
        <v>87</v>
      </c>
      <c r="Z230" s="699" t="s">
        <v>87</v>
      </c>
    </row>
    <row r="231" spans="1:26" x14ac:dyDescent="0.2">
      <c r="A231" s="879" t="s">
        <v>1026</v>
      </c>
      <c r="B231" s="169">
        <v>1</v>
      </c>
      <c r="C231" s="225"/>
      <c r="D231" s="225"/>
      <c r="E231" s="225"/>
      <c r="F231" s="565">
        <f>SUM(F232:F234)</f>
        <v>0</v>
      </c>
      <c r="G231" s="565">
        <f>SUM(G232:G234)</f>
        <v>0</v>
      </c>
      <c r="H231" s="225"/>
      <c r="I231" s="225"/>
      <c r="J231" s="1454" t="s">
        <v>1039</v>
      </c>
      <c r="K231" s="1455"/>
      <c r="L231" s="1455"/>
      <c r="M231" s="1456"/>
      <c r="P231" s="699" t="s">
        <v>87</v>
      </c>
      <c r="Z231" s="699" t="s">
        <v>87</v>
      </c>
    </row>
    <row r="232" spans="1:26" x14ac:dyDescent="0.2">
      <c r="A232" s="880" t="s">
        <v>1040</v>
      </c>
      <c r="B232" s="169">
        <v>2</v>
      </c>
      <c r="C232" s="149" t="s">
        <v>90</v>
      </c>
      <c r="D232" s="149" t="s">
        <v>90</v>
      </c>
      <c r="E232" s="149" t="s">
        <v>90</v>
      </c>
      <c r="F232" s="282" t="str">
        <f t="shared" ref="F232:F238" si="75">IF(OR(C232&lt;&gt;"-",D232&lt;&gt;"-",E232&lt;&gt;"-"),MAX(0,SUM(C232)-SUM(D232)-SUM(E232)),"-")</f>
        <v>-</v>
      </c>
      <c r="G232" s="282" t="str">
        <f t="shared" ref="G232:G234" si="76">IF(OR(C232&lt;&gt;"-",D232&lt;&gt;"-"),MAX(0,SUM(C232)-SUM(D232)),"-")</f>
        <v>-</v>
      </c>
      <c r="H232" s="149" t="s">
        <v>90</v>
      </c>
      <c r="I232" s="230"/>
      <c r="J232" s="1460"/>
      <c r="K232" s="1458"/>
      <c r="L232" s="1458"/>
      <c r="M232" s="1459"/>
      <c r="P232" s="699" t="s">
        <v>87</v>
      </c>
      <c r="Z232" s="699" t="s">
        <v>87</v>
      </c>
    </row>
    <row r="233" spans="1:26" x14ac:dyDescent="0.2">
      <c r="A233" s="880" t="s">
        <v>1041</v>
      </c>
      <c r="B233" s="169">
        <v>3</v>
      </c>
      <c r="C233" s="137" t="s">
        <v>90</v>
      </c>
      <c r="D233" s="137" t="s">
        <v>90</v>
      </c>
      <c r="E233" s="137" t="s">
        <v>90</v>
      </c>
      <c r="F233" s="152" t="str">
        <f t="shared" si="75"/>
        <v>-</v>
      </c>
      <c r="G233" s="285" t="str">
        <f t="shared" si="76"/>
        <v>-</v>
      </c>
      <c r="H233" s="137" t="s">
        <v>90</v>
      </c>
      <c r="I233" s="230"/>
      <c r="J233" s="1460"/>
      <c r="K233" s="1458"/>
      <c r="L233" s="1458"/>
      <c r="M233" s="1459"/>
      <c r="P233" s="699" t="s">
        <v>87</v>
      </c>
      <c r="Z233" s="699" t="s">
        <v>87</v>
      </c>
    </row>
    <row r="234" spans="1:26" x14ac:dyDescent="0.2">
      <c r="A234" s="881" t="s">
        <v>1042</v>
      </c>
      <c r="B234" s="162">
        <v>4</v>
      </c>
      <c r="C234" s="139" t="s">
        <v>90</v>
      </c>
      <c r="D234" s="139" t="s">
        <v>90</v>
      </c>
      <c r="E234" s="139" t="s">
        <v>90</v>
      </c>
      <c r="F234" s="882" t="str">
        <f t="shared" si="75"/>
        <v>-</v>
      </c>
      <c r="G234" s="153" t="str">
        <f t="shared" si="76"/>
        <v>-</v>
      </c>
      <c r="H234" s="139" t="s">
        <v>90</v>
      </c>
      <c r="I234" s="323"/>
      <c r="J234" s="1461"/>
      <c r="K234" s="1462"/>
      <c r="L234" s="1462"/>
      <c r="M234" s="1463"/>
      <c r="P234" s="699" t="s">
        <v>87</v>
      </c>
      <c r="Z234" s="699" t="s">
        <v>87</v>
      </c>
    </row>
    <row r="235" spans="1:26" x14ac:dyDescent="0.2">
      <c r="A235" s="879" t="s">
        <v>1027</v>
      </c>
      <c r="B235" s="883"/>
      <c r="C235" s="884"/>
      <c r="D235" s="884"/>
      <c r="E235" s="884"/>
      <c r="F235" s="885">
        <f>SUM(F236:F238)</f>
        <v>0</v>
      </c>
      <c r="G235" s="886">
        <f>SUM(G236:G238)</f>
        <v>0</v>
      </c>
      <c r="H235" s="884"/>
      <c r="I235" s="884"/>
      <c r="J235" s="1454" t="s">
        <v>1039</v>
      </c>
      <c r="K235" s="1455"/>
      <c r="L235" s="1455"/>
      <c r="M235" s="1456"/>
      <c r="P235" s="699" t="s">
        <v>87</v>
      </c>
      <c r="Z235" s="699" t="s">
        <v>87</v>
      </c>
    </row>
    <row r="236" spans="1:26" x14ac:dyDescent="0.2">
      <c r="A236" s="880" t="s">
        <v>1040</v>
      </c>
      <c r="B236" s="169">
        <v>5</v>
      </c>
      <c r="C236" s="149" t="s">
        <v>90</v>
      </c>
      <c r="D236" s="149" t="s">
        <v>90</v>
      </c>
      <c r="E236" s="149" t="s">
        <v>90</v>
      </c>
      <c r="F236" s="282" t="str">
        <f t="shared" si="75"/>
        <v>-</v>
      </c>
      <c r="G236" s="282" t="str">
        <f t="shared" ref="G236:G238" si="77">IF(OR(C236&lt;&gt;"-",D236&lt;&gt;"-"),MAX(0,SUM(C236)-SUM(D236)),"-")</f>
        <v>-</v>
      </c>
      <c r="H236" s="149" t="s">
        <v>90</v>
      </c>
      <c r="I236" s="230"/>
      <c r="J236" s="1460"/>
      <c r="K236" s="1458"/>
      <c r="L236" s="1458"/>
      <c r="M236" s="1459"/>
      <c r="P236" s="699" t="s">
        <v>87</v>
      </c>
      <c r="Z236" s="699" t="s">
        <v>87</v>
      </c>
    </row>
    <row r="237" spans="1:26" x14ac:dyDescent="0.2">
      <c r="A237" s="880" t="s">
        <v>1041</v>
      </c>
      <c r="B237" s="169">
        <v>6</v>
      </c>
      <c r="C237" s="137" t="s">
        <v>90</v>
      </c>
      <c r="D237" s="137" t="s">
        <v>90</v>
      </c>
      <c r="E237" s="137" t="s">
        <v>90</v>
      </c>
      <c r="F237" s="152" t="str">
        <f t="shared" si="75"/>
        <v>-</v>
      </c>
      <c r="G237" s="285" t="str">
        <f t="shared" si="77"/>
        <v>-</v>
      </c>
      <c r="H237" s="137" t="s">
        <v>90</v>
      </c>
      <c r="I237" s="230"/>
      <c r="J237" s="1460"/>
      <c r="K237" s="1458"/>
      <c r="L237" s="1458"/>
      <c r="M237" s="1459"/>
      <c r="P237" s="699" t="s">
        <v>87</v>
      </c>
      <c r="Z237" s="699" t="s">
        <v>87</v>
      </c>
    </row>
    <row r="238" spans="1:26" x14ac:dyDescent="0.2">
      <c r="A238" s="881" t="s">
        <v>1042</v>
      </c>
      <c r="B238" s="162">
        <v>7</v>
      </c>
      <c r="C238" s="139" t="s">
        <v>90</v>
      </c>
      <c r="D238" s="139" t="s">
        <v>90</v>
      </c>
      <c r="E238" s="139" t="s">
        <v>90</v>
      </c>
      <c r="F238" s="882" t="str">
        <f t="shared" si="75"/>
        <v>-</v>
      </c>
      <c r="G238" s="153" t="str">
        <f t="shared" si="77"/>
        <v>-</v>
      </c>
      <c r="H238" s="139" t="s">
        <v>90</v>
      </c>
      <c r="I238" s="323"/>
      <c r="J238" s="1461"/>
      <c r="K238" s="1462"/>
      <c r="L238" s="1462"/>
      <c r="M238" s="1463"/>
      <c r="P238" s="699" t="s">
        <v>87</v>
      </c>
      <c r="Z238" s="699" t="s">
        <v>87</v>
      </c>
    </row>
    <row r="239" spans="1:26" x14ac:dyDescent="0.2">
      <c r="A239" s="879" t="s">
        <v>1028</v>
      </c>
      <c r="B239" s="883">
        <v>8</v>
      </c>
      <c r="C239" s="225"/>
      <c r="D239" s="225"/>
      <c r="E239" s="225"/>
      <c r="F239" s="885">
        <f>SUM(F241:F248)</f>
        <v>0</v>
      </c>
      <c r="G239" s="565">
        <f>SUM(G241:G248)</f>
        <v>0</v>
      </c>
      <c r="H239" s="225"/>
      <c r="I239" s="225"/>
      <c r="J239" s="1454"/>
      <c r="K239" s="1455"/>
      <c r="L239" s="1455"/>
      <c r="M239" s="1456"/>
      <c r="P239" s="699" t="s">
        <v>87</v>
      </c>
      <c r="Z239" s="699" t="s">
        <v>87</v>
      </c>
    </row>
    <row r="240" spans="1:26" x14ac:dyDescent="0.2">
      <c r="A240" s="880" t="s">
        <v>1040</v>
      </c>
      <c r="B240" s="169"/>
      <c r="C240" s="230"/>
      <c r="D240" s="230"/>
      <c r="E240" s="230"/>
      <c r="F240" s="230"/>
      <c r="G240" s="230"/>
      <c r="H240" s="230"/>
      <c r="I240" s="230"/>
      <c r="J240" s="1457"/>
      <c r="K240" s="1458"/>
      <c r="L240" s="1458"/>
      <c r="M240" s="1459"/>
      <c r="P240" s="699" t="s">
        <v>87</v>
      </c>
      <c r="Z240" s="699" t="s">
        <v>87</v>
      </c>
    </row>
    <row r="241" spans="1:26" x14ac:dyDescent="0.2">
      <c r="A241" s="287" t="s">
        <v>1043</v>
      </c>
      <c r="B241" s="169">
        <v>9</v>
      </c>
      <c r="C241" s="149" t="s">
        <v>90</v>
      </c>
      <c r="D241" s="149" t="s">
        <v>90</v>
      </c>
      <c r="E241" s="149" t="s">
        <v>90</v>
      </c>
      <c r="F241" s="282" t="str">
        <f t="shared" ref="F241:F248" si="78">IF(OR(C241&lt;&gt;"-",D241&lt;&gt;"-",E241&lt;&gt;"-"),MAX(0,SUM(C241)-SUM(D241)-SUM(E241)),"-")</f>
        <v>-</v>
      </c>
      <c r="G241" s="282" t="str">
        <f t="shared" ref="G241:G242" si="79">IF(OR(C241&lt;&gt;"-",D241&lt;&gt;"-"),MAX(0,SUM(C241)-SUM(D241)),"-")</f>
        <v>-</v>
      </c>
      <c r="H241" s="149" t="s">
        <v>90</v>
      </c>
      <c r="I241" s="742"/>
      <c r="J241" s="1460"/>
      <c r="K241" s="1458"/>
      <c r="L241" s="1458"/>
      <c r="M241" s="1459"/>
      <c r="P241" s="699" t="s">
        <v>87</v>
      </c>
      <c r="Z241" s="699" t="s">
        <v>87</v>
      </c>
    </row>
    <row r="242" spans="1:26" x14ac:dyDescent="0.2">
      <c r="A242" s="287" t="s">
        <v>1044</v>
      </c>
      <c r="B242" s="169">
        <v>10</v>
      </c>
      <c r="C242" s="139" t="s">
        <v>90</v>
      </c>
      <c r="D242" s="139" t="s">
        <v>90</v>
      </c>
      <c r="E242" s="139" t="s">
        <v>90</v>
      </c>
      <c r="F242" s="882" t="str">
        <f t="shared" si="78"/>
        <v>-</v>
      </c>
      <c r="G242" s="153" t="str">
        <f t="shared" si="79"/>
        <v>-</v>
      </c>
      <c r="H242" s="323"/>
      <c r="I242" s="139" t="s">
        <v>90</v>
      </c>
      <c r="J242" s="1460"/>
      <c r="K242" s="1458"/>
      <c r="L242" s="1458"/>
      <c r="M242" s="1459"/>
      <c r="P242" s="699" t="s">
        <v>87</v>
      </c>
      <c r="Z242" s="699" t="s">
        <v>87</v>
      </c>
    </row>
    <row r="243" spans="1:26" x14ac:dyDescent="0.2">
      <c r="A243" s="880" t="s">
        <v>1041</v>
      </c>
      <c r="B243" s="169"/>
      <c r="C243" s="230"/>
      <c r="D243" s="230"/>
      <c r="E243" s="230"/>
      <c r="F243" s="230"/>
      <c r="G243" s="230"/>
      <c r="H243" s="230"/>
      <c r="I243" s="230"/>
      <c r="J243" s="1457"/>
      <c r="K243" s="1458"/>
      <c r="L243" s="1458"/>
      <c r="M243" s="1459"/>
      <c r="P243" s="699" t="s">
        <v>87</v>
      </c>
      <c r="Z243" s="699" t="s">
        <v>87</v>
      </c>
    </row>
    <row r="244" spans="1:26" x14ac:dyDescent="0.2">
      <c r="A244" s="287" t="s">
        <v>1043</v>
      </c>
      <c r="B244" s="169">
        <v>11</v>
      </c>
      <c r="C244" s="149" t="s">
        <v>90</v>
      </c>
      <c r="D244" s="149" t="s">
        <v>90</v>
      </c>
      <c r="E244" s="149" t="s">
        <v>90</v>
      </c>
      <c r="F244" s="282" t="str">
        <f t="shared" si="78"/>
        <v>-</v>
      </c>
      <c r="G244" s="282" t="str">
        <f t="shared" ref="G244:G245" si="80">IF(OR(C244&lt;&gt;"-",D244&lt;&gt;"-"),MAX(0,SUM(C244)-SUM(D244)),"-")</f>
        <v>-</v>
      </c>
      <c r="H244" s="149" t="s">
        <v>90</v>
      </c>
      <c r="I244" s="742"/>
      <c r="J244" s="1460"/>
      <c r="K244" s="1458"/>
      <c r="L244" s="1458"/>
      <c r="M244" s="1459"/>
      <c r="P244" s="699" t="s">
        <v>87</v>
      </c>
      <c r="Z244" s="699" t="s">
        <v>87</v>
      </c>
    </row>
    <row r="245" spans="1:26" x14ac:dyDescent="0.2">
      <c r="A245" s="287" t="s">
        <v>1044</v>
      </c>
      <c r="B245" s="169">
        <v>12</v>
      </c>
      <c r="C245" s="139" t="s">
        <v>90</v>
      </c>
      <c r="D245" s="139" t="s">
        <v>90</v>
      </c>
      <c r="E245" s="139" t="s">
        <v>90</v>
      </c>
      <c r="F245" s="882" t="str">
        <f t="shared" si="78"/>
        <v>-</v>
      </c>
      <c r="G245" s="153" t="str">
        <f t="shared" si="80"/>
        <v>-</v>
      </c>
      <c r="H245" s="323"/>
      <c r="I245" s="139" t="s">
        <v>90</v>
      </c>
      <c r="J245" s="1460"/>
      <c r="K245" s="1458"/>
      <c r="L245" s="1458"/>
      <c r="M245" s="1459"/>
      <c r="P245" s="699" t="s">
        <v>87</v>
      </c>
      <c r="Z245" s="699" t="s">
        <v>87</v>
      </c>
    </row>
    <row r="246" spans="1:26" x14ac:dyDescent="0.2">
      <c r="A246" s="880" t="s">
        <v>1042</v>
      </c>
      <c r="B246" s="169"/>
      <c r="C246" s="230"/>
      <c r="D246" s="230"/>
      <c r="E246" s="230"/>
      <c r="F246" s="230"/>
      <c r="G246" s="230"/>
      <c r="H246" s="230"/>
      <c r="I246" s="230"/>
      <c r="J246" s="1457"/>
      <c r="K246" s="1458"/>
      <c r="L246" s="1458"/>
      <c r="M246" s="1459"/>
      <c r="P246" s="699" t="s">
        <v>87</v>
      </c>
      <c r="Z246" s="699" t="s">
        <v>87</v>
      </c>
    </row>
    <row r="247" spans="1:26" x14ac:dyDescent="0.2">
      <c r="A247" s="287" t="s">
        <v>1043</v>
      </c>
      <c r="B247" s="169">
        <v>13</v>
      </c>
      <c r="C247" s="149" t="s">
        <v>90</v>
      </c>
      <c r="D247" s="149" t="s">
        <v>90</v>
      </c>
      <c r="E247" s="149" t="s">
        <v>90</v>
      </c>
      <c r="F247" s="282" t="str">
        <f t="shared" si="78"/>
        <v>-</v>
      </c>
      <c r="G247" s="282" t="str">
        <f t="shared" ref="G247:G248" si="81">IF(OR(C247&lt;&gt;"-",D247&lt;&gt;"-"),MAX(0,SUM(C247)-SUM(D247)),"-")</f>
        <v>-</v>
      </c>
      <c r="H247" s="149" t="s">
        <v>90</v>
      </c>
      <c r="I247" s="742"/>
      <c r="J247" s="1460"/>
      <c r="K247" s="1458"/>
      <c r="L247" s="1458"/>
      <c r="M247" s="1459"/>
      <c r="P247" s="699" t="s">
        <v>87</v>
      </c>
      <c r="Z247" s="699" t="s">
        <v>87</v>
      </c>
    </row>
    <row r="248" spans="1:26" x14ac:dyDescent="0.2">
      <c r="A248" s="291" t="s">
        <v>1044</v>
      </c>
      <c r="B248" s="162">
        <v>14</v>
      </c>
      <c r="C248" s="139" t="s">
        <v>90</v>
      </c>
      <c r="D248" s="139" t="s">
        <v>90</v>
      </c>
      <c r="E248" s="139" t="s">
        <v>90</v>
      </c>
      <c r="F248" s="882" t="str">
        <f t="shared" si="78"/>
        <v>-</v>
      </c>
      <c r="G248" s="153" t="str">
        <f t="shared" si="81"/>
        <v>-</v>
      </c>
      <c r="H248" s="323"/>
      <c r="I248" s="139" t="s">
        <v>90</v>
      </c>
      <c r="J248" s="1461"/>
      <c r="K248" s="1462"/>
      <c r="L248" s="1462"/>
      <c r="M248" s="1463"/>
      <c r="P248" s="699" t="s">
        <v>87</v>
      </c>
      <c r="Z248" s="699" t="s">
        <v>87</v>
      </c>
    </row>
    <row r="249" spans="1:26" x14ac:dyDescent="0.2">
      <c r="A249" s="879" t="s">
        <v>1029</v>
      </c>
      <c r="B249" s="883">
        <v>15</v>
      </c>
      <c r="C249" s="225"/>
      <c r="D249" s="225"/>
      <c r="E249" s="225"/>
      <c r="F249" s="885">
        <f>SUM(F251:F258)</f>
        <v>0</v>
      </c>
      <c r="G249" s="565">
        <f>SUM(G251:G258)</f>
        <v>0</v>
      </c>
      <c r="H249" s="225"/>
      <c r="I249" s="225"/>
      <c r="J249" s="1454"/>
      <c r="K249" s="1455"/>
      <c r="L249" s="1455"/>
      <c r="M249" s="1456"/>
      <c r="P249" s="699" t="s">
        <v>87</v>
      </c>
      <c r="Z249" s="699" t="s">
        <v>87</v>
      </c>
    </row>
    <row r="250" spans="1:26" x14ac:dyDescent="0.2">
      <c r="A250" s="880" t="s">
        <v>1040</v>
      </c>
      <c r="B250" s="169"/>
      <c r="C250" s="230"/>
      <c r="D250" s="230"/>
      <c r="E250" s="230"/>
      <c r="F250" s="230"/>
      <c r="G250" s="230"/>
      <c r="H250" s="230"/>
      <c r="I250" s="230"/>
      <c r="J250" s="1457"/>
      <c r="K250" s="1458"/>
      <c r="L250" s="1458"/>
      <c r="M250" s="1459"/>
      <c r="P250" s="699" t="s">
        <v>87</v>
      </c>
      <c r="Z250" s="699" t="s">
        <v>87</v>
      </c>
    </row>
    <row r="251" spans="1:26" x14ac:dyDescent="0.2">
      <c r="A251" s="287" t="s">
        <v>1043</v>
      </c>
      <c r="B251" s="169">
        <v>16</v>
      </c>
      <c r="C251" s="149" t="s">
        <v>90</v>
      </c>
      <c r="D251" s="149" t="s">
        <v>90</v>
      </c>
      <c r="E251" s="149" t="s">
        <v>90</v>
      </c>
      <c r="F251" s="282" t="str">
        <f t="shared" ref="F251:F258" si="82">IF(OR(C251&lt;&gt;"-",D251&lt;&gt;"-",E251&lt;&gt;"-"),MAX(0,SUM(C251)-SUM(D251)-SUM(E251)),"-")</f>
        <v>-</v>
      </c>
      <c r="G251" s="282" t="str">
        <f t="shared" ref="G251:G252" si="83">IF(OR(C251&lt;&gt;"-",D251&lt;&gt;"-"),MAX(0,SUM(C251)-SUM(D251)),"-")</f>
        <v>-</v>
      </c>
      <c r="H251" s="149" t="s">
        <v>90</v>
      </c>
      <c r="I251" s="742"/>
      <c r="J251" s="1460"/>
      <c r="K251" s="1458"/>
      <c r="L251" s="1458"/>
      <c r="M251" s="1459"/>
      <c r="P251" s="699" t="s">
        <v>87</v>
      </c>
      <c r="Z251" s="699" t="s">
        <v>87</v>
      </c>
    </row>
    <row r="252" spans="1:26" x14ac:dyDescent="0.2">
      <c r="A252" s="287" t="s">
        <v>1044</v>
      </c>
      <c r="B252" s="169">
        <v>17</v>
      </c>
      <c r="C252" s="139" t="s">
        <v>90</v>
      </c>
      <c r="D252" s="139" t="s">
        <v>90</v>
      </c>
      <c r="E252" s="139" t="s">
        <v>90</v>
      </c>
      <c r="F252" s="882" t="str">
        <f t="shared" si="82"/>
        <v>-</v>
      </c>
      <c r="G252" s="153" t="str">
        <f t="shared" si="83"/>
        <v>-</v>
      </c>
      <c r="H252" s="323"/>
      <c r="I252" s="139" t="s">
        <v>90</v>
      </c>
      <c r="J252" s="1460"/>
      <c r="K252" s="1458"/>
      <c r="L252" s="1458"/>
      <c r="M252" s="1459"/>
      <c r="P252" s="699" t="s">
        <v>87</v>
      </c>
      <c r="Z252" s="699" t="s">
        <v>87</v>
      </c>
    </row>
    <row r="253" spans="1:26" x14ac:dyDescent="0.2">
      <c r="A253" s="880" t="s">
        <v>1041</v>
      </c>
      <c r="B253" s="169"/>
      <c r="C253" s="230"/>
      <c r="D253" s="230"/>
      <c r="E253" s="230"/>
      <c r="F253" s="230"/>
      <c r="G253" s="230"/>
      <c r="H253" s="230"/>
      <c r="I253" s="230"/>
      <c r="J253" s="1457"/>
      <c r="K253" s="1458"/>
      <c r="L253" s="1458"/>
      <c r="M253" s="1459"/>
      <c r="P253" s="699" t="s">
        <v>87</v>
      </c>
      <c r="Z253" s="699" t="s">
        <v>87</v>
      </c>
    </row>
    <row r="254" spans="1:26" x14ac:dyDescent="0.2">
      <c r="A254" s="287" t="s">
        <v>1043</v>
      </c>
      <c r="B254" s="169">
        <v>18</v>
      </c>
      <c r="C254" s="149" t="s">
        <v>90</v>
      </c>
      <c r="D254" s="149" t="s">
        <v>90</v>
      </c>
      <c r="E254" s="149" t="s">
        <v>90</v>
      </c>
      <c r="F254" s="282" t="str">
        <f t="shared" si="82"/>
        <v>-</v>
      </c>
      <c r="G254" s="282" t="str">
        <f t="shared" ref="G254:G255" si="84">IF(OR(C254&lt;&gt;"-",D254&lt;&gt;"-"),MAX(0,SUM(C254)-SUM(D254)),"-")</f>
        <v>-</v>
      </c>
      <c r="H254" s="149" t="s">
        <v>90</v>
      </c>
      <c r="I254" s="742"/>
      <c r="J254" s="1460"/>
      <c r="K254" s="1458"/>
      <c r="L254" s="1458"/>
      <c r="M254" s="1459"/>
      <c r="P254" s="699" t="s">
        <v>87</v>
      </c>
      <c r="Z254" s="699" t="s">
        <v>87</v>
      </c>
    </row>
    <row r="255" spans="1:26" x14ac:dyDescent="0.2">
      <c r="A255" s="287" t="s">
        <v>1044</v>
      </c>
      <c r="B255" s="169">
        <v>19</v>
      </c>
      <c r="C255" s="139" t="s">
        <v>90</v>
      </c>
      <c r="D255" s="139" t="s">
        <v>90</v>
      </c>
      <c r="E255" s="139" t="s">
        <v>90</v>
      </c>
      <c r="F255" s="882" t="str">
        <f t="shared" si="82"/>
        <v>-</v>
      </c>
      <c r="G255" s="153" t="str">
        <f t="shared" si="84"/>
        <v>-</v>
      </c>
      <c r="H255" s="323"/>
      <c r="I255" s="139" t="s">
        <v>90</v>
      </c>
      <c r="J255" s="1460"/>
      <c r="K255" s="1458"/>
      <c r="L255" s="1458"/>
      <c r="M255" s="1459"/>
      <c r="P255" s="699" t="s">
        <v>87</v>
      </c>
      <c r="Z255" s="699" t="s">
        <v>87</v>
      </c>
    </row>
    <row r="256" spans="1:26" x14ac:dyDescent="0.2">
      <c r="A256" s="880" t="s">
        <v>1042</v>
      </c>
      <c r="B256" s="169"/>
      <c r="C256" s="230"/>
      <c r="D256" s="230"/>
      <c r="E256" s="230"/>
      <c r="F256" s="230"/>
      <c r="G256" s="230"/>
      <c r="H256" s="230"/>
      <c r="I256" s="230"/>
      <c r="J256" s="1457"/>
      <c r="K256" s="1458"/>
      <c r="L256" s="1458"/>
      <c r="M256" s="1459"/>
      <c r="P256" s="699" t="s">
        <v>87</v>
      </c>
      <c r="Z256" s="699" t="s">
        <v>87</v>
      </c>
    </row>
    <row r="257" spans="1:26" x14ac:dyDescent="0.2">
      <c r="A257" s="287" t="s">
        <v>1043</v>
      </c>
      <c r="B257" s="169">
        <v>20</v>
      </c>
      <c r="C257" s="149" t="s">
        <v>90</v>
      </c>
      <c r="D257" s="149" t="s">
        <v>90</v>
      </c>
      <c r="E257" s="149" t="s">
        <v>90</v>
      </c>
      <c r="F257" s="282" t="str">
        <f t="shared" si="82"/>
        <v>-</v>
      </c>
      <c r="G257" s="282" t="str">
        <f t="shared" ref="G257:G258" si="85">IF(OR(C257&lt;&gt;"-",D257&lt;&gt;"-"),MAX(0,SUM(C257)-SUM(D257)),"-")</f>
        <v>-</v>
      </c>
      <c r="H257" s="149" t="s">
        <v>90</v>
      </c>
      <c r="I257" s="742"/>
      <c r="J257" s="1460"/>
      <c r="K257" s="1458"/>
      <c r="L257" s="1458"/>
      <c r="M257" s="1459"/>
      <c r="P257" s="699" t="s">
        <v>87</v>
      </c>
      <c r="Z257" s="699" t="s">
        <v>87</v>
      </c>
    </row>
    <row r="258" spans="1:26" x14ac:dyDescent="0.2">
      <c r="A258" s="291" t="s">
        <v>1044</v>
      </c>
      <c r="B258" s="162">
        <v>21</v>
      </c>
      <c r="C258" s="139" t="s">
        <v>90</v>
      </c>
      <c r="D258" s="139" t="s">
        <v>90</v>
      </c>
      <c r="E258" s="139" t="s">
        <v>90</v>
      </c>
      <c r="F258" s="882" t="str">
        <f t="shared" si="82"/>
        <v>-</v>
      </c>
      <c r="G258" s="153" t="str">
        <f t="shared" si="85"/>
        <v>-</v>
      </c>
      <c r="H258" s="323"/>
      <c r="I258" s="139" t="s">
        <v>90</v>
      </c>
      <c r="J258" s="1461"/>
      <c r="K258" s="1462"/>
      <c r="L258" s="1462"/>
      <c r="M258" s="1463"/>
      <c r="P258" s="699" t="s">
        <v>87</v>
      </c>
      <c r="Z258" s="699" t="s">
        <v>87</v>
      </c>
    </row>
    <row r="259" spans="1:26" x14ac:dyDescent="0.2">
      <c r="A259" s="879" t="s">
        <v>1030</v>
      </c>
      <c r="B259" s="883">
        <v>22</v>
      </c>
      <c r="C259" s="225"/>
      <c r="D259" s="225"/>
      <c r="E259" s="225"/>
      <c r="F259" s="885">
        <f>SUM(F261:F268)</f>
        <v>0</v>
      </c>
      <c r="G259" s="565">
        <f>SUM(G261:G268)</f>
        <v>0</v>
      </c>
      <c r="H259" s="225"/>
      <c r="I259" s="225"/>
      <c r="J259" s="1454"/>
      <c r="K259" s="1455"/>
      <c r="L259" s="1455"/>
      <c r="M259" s="1456"/>
      <c r="P259" s="699" t="s">
        <v>87</v>
      </c>
      <c r="Z259" s="699" t="s">
        <v>87</v>
      </c>
    </row>
    <row r="260" spans="1:26" x14ac:dyDescent="0.2">
      <c r="A260" s="880" t="s">
        <v>1040</v>
      </c>
      <c r="B260" s="169"/>
      <c r="C260" s="230"/>
      <c r="D260" s="230"/>
      <c r="E260" s="230"/>
      <c r="F260" s="230"/>
      <c r="G260" s="230"/>
      <c r="H260" s="230"/>
      <c r="I260" s="230"/>
      <c r="J260" s="1457"/>
      <c r="K260" s="1458"/>
      <c r="L260" s="1458"/>
      <c r="M260" s="1459"/>
      <c r="P260" s="699" t="s">
        <v>87</v>
      </c>
      <c r="Z260" s="699" t="s">
        <v>87</v>
      </c>
    </row>
    <row r="261" spans="1:26" x14ac:dyDescent="0.2">
      <c r="A261" s="287" t="s">
        <v>1043</v>
      </c>
      <c r="B261" s="169">
        <v>23</v>
      </c>
      <c r="C261" s="149" t="s">
        <v>90</v>
      </c>
      <c r="D261" s="149" t="s">
        <v>90</v>
      </c>
      <c r="E261" s="149" t="s">
        <v>90</v>
      </c>
      <c r="F261" s="282" t="str">
        <f t="shared" ref="F261:F268" si="86">IF(OR(C261&lt;&gt;"-",D261&lt;&gt;"-",E261&lt;&gt;"-"),MAX(0,SUM(C261)-SUM(D261)-SUM(E261)),"-")</f>
        <v>-</v>
      </c>
      <c r="G261" s="282" t="str">
        <f t="shared" ref="G261:G262" si="87">IF(OR(C261&lt;&gt;"-",D261&lt;&gt;"-"),MAX(0,SUM(C261)-SUM(D261)),"-")</f>
        <v>-</v>
      </c>
      <c r="H261" s="149" t="s">
        <v>90</v>
      </c>
      <c r="I261" s="742"/>
      <c r="J261" s="1460"/>
      <c r="K261" s="1458"/>
      <c r="L261" s="1458"/>
      <c r="M261" s="1459"/>
      <c r="P261" s="699" t="s">
        <v>87</v>
      </c>
      <c r="Z261" s="699" t="s">
        <v>87</v>
      </c>
    </row>
    <row r="262" spans="1:26" x14ac:dyDescent="0.2">
      <c r="A262" s="287" t="s">
        <v>1044</v>
      </c>
      <c r="B262" s="169">
        <v>24</v>
      </c>
      <c r="C262" s="139" t="s">
        <v>90</v>
      </c>
      <c r="D262" s="139" t="s">
        <v>90</v>
      </c>
      <c r="E262" s="139" t="s">
        <v>90</v>
      </c>
      <c r="F262" s="882" t="str">
        <f t="shared" si="86"/>
        <v>-</v>
      </c>
      <c r="G262" s="153" t="str">
        <f t="shared" si="87"/>
        <v>-</v>
      </c>
      <c r="H262" s="323"/>
      <c r="I262" s="139" t="s">
        <v>90</v>
      </c>
      <c r="J262" s="1460"/>
      <c r="K262" s="1458"/>
      <c r="L262" s="1458"/>
      <c r="M262" s="1459"/>
      <c r="P262" s="699" t="s">
        <v>87</v>
      </c>
      <c r="Z262" s="699" t="s">
        <v>87</v>
      </c>
    </row>
    <row r="263" spans="1:26" x14ac:dyDescent="0.2">
      <c r="A263" s="880" t="s">
        <v>1041</v>
      </c>
      <c r="B263" s="169"/>
      <c r="C263" s="230"/>
      <c r="D263" s="230"/>
      <c r="E263" s="230"/>
      <c r="F263" s="230"/>
      <c r="G263" s="230"/>
      <c r="H263" s="230"/>
      <c r="I263" s="230"/>
      <c r="J263" s="1457"/>
      <c r="K263" s="1458"/>
      <c r="L263" s="1458"/>
      <c r="M263" s="1459"/>
      <c r="P263" s="699" t="s">
        <v>87</v>
      </c>
      <c r="Z263" s="699" t="s">
        <v>87</v>
      </c>
    </row>
    <row r="264" spans="1:26" x14ac:dyDescent="0.2">
      <c r="A264" s="287" t="s">
        <v>1043</v>
      </c>
      <c r="B264" s="169">
        <v>25</v>
      </c>
      <c r="C264" s="149" t="s">
        <v>90</v>
      </c>
      <c r="D264" s="149" t="s">
        <v>90</v>
      </c>
      <c r="E264" s="149" t="s">
        <v>90</v>
      </c>
      <c r="F264" s="282" t="str">
        <f t="shared" si="86"/>
        <v>-</v>
      </c>
      <c r="G264" s="282" t="str">
        <f t="shared" ref="G264:G265" si="88">IF(OR(C264&lt;&gt;"-",D264&lt;&gt;"-"),MAX(0,SUM(C264)-SUM(D264)),"-")</f>
        <v>-</v>
      </c>
      <c r="H264" s="149" t="s">
        <v>90</v>
      </c>
      <c r="I264" s="742"/>
      <c r="J264" s="1460"/>
      <c r="K264" s="1458"/>
      <c r="L264" s="1458"/>
      <c r="M264" s="1459"/>
      <c r="P264" s="699" t="s">
        <v>87</v>
      </c>
      <c r="Z264" s="699" t="s">
        <v>87</v>
      </c>
    </row>
    <row r="265" spans="1:26" x14ac:dyDescent="0.2">
      <c r="A265" s="287" t="s">
        <v>1044</v>
      </c>
      <c r="B265" s="169">
        <v>26</v>
      </c>
      <c r="C265" s="139" t="s">
        <v>90</v>
      </c>
      <c r="D265" s="139" t="s">
        <v>90</v>
      </c>
      <c r="E265" s="139" t="s">
        <v>90</v>
      </c>
      <c r="F265" s="882" t="str">
        <f t="shared" si="86"/>
        <v>-</v>
      </c>
      <c r="G265" s="153" t="str">
        <f t="shared" si="88"/>
        <v>-</v>
      </c>
      <c r="H265" s="323"/>
      <c r="I265" s="139" t="s">
        <v>90</v>
      </c>
      <c r="J265" s="1460"/>
      <c r="K265" s="1458"/>
      <c r="L265" s="1458"/>
      <c r="M265" s="1459"/>
      <c r="P265" s="699" t="s">
        <v>87</v>
      </c>
      <c r="Z265" s="699" t="s">
        <v>87</v>
      </c>
    </row>
    <row r="266" spans="1:26" x14ac:dyDescent="0.2">
      <c r="A266" s="880" t="s">
        <v>1042</v>
      </c>
      <c r="B266" s="169"/>
      <c r="C266" s="230"/>
      <c r="D266" s="230"/>
      <c r="E266" s="230"/>
      <c r="F266" s="230"/>
      <c r="G266" s="230"/>
      <c r="H266" s="230"/>
      <c r="I266" s="230"/>
      <c r="J266" s="1457"/>
      <c r="K266" s="1458"/>
      <c r="L266" s="1458"/>
      <c r="M266" s="1459"/>
      <c r="P266" s="699" t="s">
        <v>87</v>
      </c>
      <c r="Z266" s="699" t="s">
        <v>87</v>
      </c>
    </row>
    <row r="267" spans="1:26" x14ac:dyDescent="0.2">
      <c r="A267" s="287" t="s">
        <v>1043</v>
      </c>
      <c r="B267" s="169">
        <v>27</v>
      </c>
      <c r="C267" s="149" t="s">
        <v>90</v>
      </c>
      <c r="D267" s="149" t="s">
        <v>90</v>
      </c>
      <c r="E267" s="149" t="s">
        <v>90</v>
      </c>
      <c r="F267" s="282" t="str">
        <f t="shared" si="86"/>
        <v>-</v>
      </c>
      <c r="G267" s="282" t="str">
        <f t="shared" ref="G267:G268" si="89">IF(OR(C267&lt;&gt;"-",D267&lt;&gt;"-"),MAX(0,SUM(C267)-SUM(D267)),"-")</f>
        <v>-</v>
      </c>
      <c r="H267" s="149" t="s">
        <v>90</v>
      </c>
      <c r="I267" s="742"/>
      <c r="J267" s="1460"/>
      <c r="K267" s="1458"/>
      <c r="L267" s="1458"/>
      <c r="M267" s="1459"/>
      <c r="P267" s="699" t="s">
        <v>87</v>
      </c>
      <c r="Z267" s="699" t="s">
        <v>87</v>
      </c>
    </row>
    <row r="268" spans="1:26" x14ac:dyDescent="0.2">
      <c r="A268" s="291" t="s">
        <v>1044</v>
      </c>
      <c r="B268" s="162">
        <v>28</v>
      </c>
      <c r="C268" s="139" t="s">
        <v>90</v>
      </c>
      <c r="D268" s="139" t="s">
        <v>90</v>
      </c>
      <c r="E268" s="139" t="s">
        <v>90</v>
      </c>
      <c r="F268" s="882" t="str">
        <f t="shared" si="86"/>
        <v>-</v>
      </c>
      <c r="G268" s="153" t="str">
        <f t="shared" si="89"/>
        <v>-</v>
      </c>
      <c r="H268" s="323"/>
      <c r="I268" s="139" t="s">
        <v>90</v>
      </c>
      <c r="J268" s="1461"/>
      <c r="K268" s="1462"/>
      <c r="L268" s="1462"/>
      <c r="M268" s="1463"/>
      <c r="P268" s="699" t="s">
        <v>87</v>
      </c>
      <c r="Z268" s="699" t="s">
        <v>87</v>
      </c>
    </row>
    <row r="269" spans="1:26" x14ac:dyDescent="0.2">
      <c r="P269" s="699" t="s">
        <v>87</v>
      </c>
      <c r="Z269" s="699" t="s">
        <v>87</v>
      </c>
    </row>
    <row r="270" spans="1:26" ht="14.25" x14ac:dyDescent="0.2">
      <c r="A270" s="874" t="s">
        <v>1034</v>
      </c>
      <c r="B270" s="875"/>
      <c r="C270" s="864" t="s">
        <v>1016</v>
      </c>
      <c r="F270" s="328" t="s">
        <v>1017</v>
      </c>
      <c r="G270" s="331"/>
      <c r="P270" s="699" t="s">
        <v>87</v>
      </c>
      <c r="Z270" s="699" t="s">
        <v>87</v>
      </c>
    </row>
    <row r="271" spans="1:26" ht="63.75" x14ac:dyDescent="0.2">
      <c r="A271" s="876" t="s">
        <v>726</v>
      </c>
      <c r="B271" s="877"/>
      <c r="C271" s="278" t="s">
        <v>1019</v>
      </c>
      <c r="D271" s="278" t="s">
        <v>1035</v>
      </c>
      <c r="E271" s="278" t="s">
        <v>990</v>
      </c>
      <c r="F271" s="278" t="s">
        <v>691</v>
      </c>
      <c r="G271" s="278" t="s">
        <v>690</v>
      </c>
      <c r="H271" s="278" t="s">
        <v>1036</v>
      </c>
      <c r="I271" s="278" t="s">
        <v>1037</v>
      </c>
      <c r="J271" s="1432" t="s">
        <v>1038</v>
      </c>
      <c r="K271" s="1433"/>
      <c r="L271" s="1433"/>
      <c r="M271" s="1434"/>
      <c r="P271" s="699" t="s">
        <v>87</v>
      </c>
      <c r="Z271" s="699" t="s">
        <v>87</v>
      </c>
    </row>
    <row r="272" spans="1:26" ht="14.25" x14ac:dyDescent="0.2">
      <c r="A272" s="878"/>
      <c r="B272" s="124">
        <v>87</v>
      </c>
      <c r="C272" s="105">
        <v>1</v>
      </c>
      <c r="D272" s="105">
        <v>2</v>
      </c>
      <c r="E272" s="105">
        <v>3</v>
      </c>
      <c r="F272" s="167" t="s">
        <v>1021</v>
      </c>
      <c r="G272" s="214" t="s">
        <v>1022</v>
      </c>
      <c r="H272" s="167">
        <v>6</v>
      </c>
      <c r="I272" s="167">
        <v>7</v>
      </c>
      <c r="J272" s="1465">
        <v>8</v>
      </c>
      <c r="K272" s="1465"/>
      <c r="L272" s="1465"/>
      <c r="M272" s="1466"/>
      <c r="P272" s="699" t="s">
        <v>87</v>
      </c>
      <c r="Z272" s="699" t="s">
        <v>87</v>
      </c>
    </row>
    <row r="273" spans="1:26" x14ac:dyDescent="0.2">
      <c r="A273" s="879" t="s">
        <v>1026</v>
      </c>
      <c r="B273" s="169">
        <v>1</v>
      </c>
      <c r="C273" s="225"/>
      <c r="D273" s="225"/>
      <c r="E273" s="225"/>
      <c r="F273" s="565">
        <f>SUM(F274:F276)</f>
        <v>0</v>
      </c>
      <c r="G273" s="565">
        <f>SUM(G274:G276)</f>
        <v>0</v>
      </c>
      <c r="H273" s="225"/>
      <c r="I273" s="225"/>
      <c r="J273" s="1454" t="s">
        <v>1039</v>
      </c>
      <c r="K273" s="1455"/>
      <c r="L273" s="1455"/>
      <c r="M273" s="1456"/>
      <c r="P273" s="699" t="s">
        <v>87</v>
      </c>
      <c r="Z273" s="699" t="s">
        <v>87</v>
      </c>
    </row>
    <row r="274" spans="1:26" x14ac:dyDescent="0.2">
      <c r="A274" s="880" t="s">
        <v>1040</v>
      </c>
      <c r="B274" s="169">
        <v>2</v>
      </c>
      <c r="C274" s="149" t="s">
        <v>90</v>
      </c>
      <c r="D274" s="149" t="s">
        <v>90</v>
      </c>
      <c r="E274" s="149" t="s">
        <v>90</v>
      </c>
      <c r="F274" s="282" t="str">
        <f t="shared" ref="F274:F280" si="90">IF(OR(C274&lt;&gt;"-",D274&lt;&gt;"-",E274&lt;&gt;"-"),MAX(0,SUM(C274)-SUM(D274)-SUM(E274)),"-")</f>
        <v>-</v>
      </c>
      <c r="G274" s="282" t="str">
        <f t="shared" ref="G274:G276" si="91">IF(OR(C274&lt;&gt;"-",D274&lt;&gt;"-"),MAX(0,SUM(C274)-SUM(D274)),"-")</f>
        <v>-</v>
      </c>
      <c r="H274" s="149" t="s">
        <v>90</v>
      </c>
      <c r="I274" s="230"/>
      <c r="J274" s="1460"/>
      <c r="K274" s="1458"/>
      <c r="L274" s="1458"/>
      <c r="M274" s="1459"/>
      <c r="P274" s="699" t="s">
        <v>87</v>
      </c>
      <c r="Z274" s="699" t="s">
        <v>87</v>
      </c>
    </row>
    <row r="275" spans="1:26" x14ac:dyDescent="0.2">
      <c r="A275" s="880" t="s">
        <v>1041</v>
      </c>
      <c r="B275" s="169">
        <v>3</v>
      </c>
      <c r="C275" s="137" t="s">
        <v>90</v>
      </c>
      <c r="D275" s="137" t="s">
        <v>90</v>
      </c>
      <c r="E275" s="137" t="s">
        <v>90</v>
      </c>
      <c r="F275" s="152" t="str">
        <f t="shared" si="90"/>
        <v>-</v>
      </c>
      <c r="G275" s="285" t="str">
        <f t="shared" si="91"/>
        <v>-</v>
      </c>
      <c r="H275" s="137" t="s">
        <v>90</v>
      </c>
      <c r="I275" s="230"/>
      <c r="J275" s="1460"/>
      <c r="K275" s="1458"/>
      <c r="L275" s="1458"/>
      <c r="M275" s="1459"/>
      <c r="P275" s="699" t="s">
        <v>87</v>
      </c>
      <c r="Z275" s="699" t="s">
        <v>87</v>
      </c>
    </row>
    <row r="276" spans="1:26" x14ac:dyDescent="0.2">
      <c r="A276" s="881" t="s">
        <v>1042</v>
      </c>
      <c r="B276" s="162">
        <v>4</v>
      </c>
      <c r="C276" s="139" t="s">
        <v>90</v>
      </c>
      <c r="D276" s="139" t="s">
        <v>90</v>
      </c>
      <c r="E276" s="139" t="s">
        <v>90</v>
      </c>
      <c r="F276" s="882" t="str">
        <f t="shared" si="90"/>
        <v>-</v>
      </c>
      <c r="G276" s="153" t="str">
        <f t="shared" si="91"/>
        <v>-</v>
      </c>
      <c r="H276" s="139" t="s">
        <v>90</v>
      </c>
      <c r="I276" s="323"/>
      <c r="J276" s="1461"/>
      <c r="K276" s="1462"/>
      <c r="L276" s="1462"/>
      <c r="M276" s="1463"/>
      <c r="P276" s="699" t="s">
        <v>87</v>
      </c>
      <c r="Z276" s="699" t="s">
        <v>87</v>
      </c>
    </row>
    <row r="277" spans="1:26" x14ac:dyDescent="0.2">
      <c r="A277" s="879" t="s">
        <v>1027</v>
      </c>
      <c r="B277" s="883"/>
      <c r="C277" s="884"/>
      <c r="D277" s="884"/>
      <c r="E277" s="884"/>
      <c r="F277" s="885">
        <f>SUM(F278:F280)</f>
        <v>0</v>
      </c>
      <c r="G277" s="886">
        <f>SUM(G278:G280)</f>
        <v>0</v>
      </c>
      <c r="H277" s="884"/>
      <c r="I277" s="884"/>
      <c r="J277" s="1454" t="s">
        <v>1039</v>
      </c>
      <c r="K277" s="1455"/>
      <c r="L277" s="1455"/>
      <c r="M277" s="1456"/>
      <c r="P277" s="699" t="s">
        <v>87</v>
      </c>
      <c r="Z277" s="699" t="s">
        <v>87</v>
      </c>
    </row>
    <row r="278" spans="1:26" x14ac:dyDescent="0.2">
      <c r="A278" s="880" t="s">
        <v>1040</v>
      </c>
      <c r="B278" s="169">
        <v>5</v>
      </c>
      <c r="C278" s="149" t="s">
        <v>90</v>
      </c>
      <c r="D278" s="149" t="s">
        <v>90</v>
      </c>
      <c r="E278" s="149" t="s">
        <v>90</v>
      </c>
      <c r="F278" s="282" t="str">
        <f t="shared" si="90"/>
        <v>-</v>
      </c>
      <c r="G278" s="282" t="str">
        <f t="shared" ref="G278:G280" si="92">IF(OR(C278&lt;&gt;"-",D278&lt;&gt;"-"),MAX(0,SUM(C278)-SUM(D278)),"-")</f>
        <v>-</v>
      </c>
      <c r="H278" s="149" t="s">
        <v>90</v>
      </c>
      <c r="I278" s="230"/>
      <c r="J278" s="1460"/>
      <c r="K278" s="1458"/>
      <c r="L278" s="1458"/>
      <c r="M278" s="1459"/>
      <c r="P278" s="699" t="s">
        <v>87</v>
      </c>
      <c r="Z278" s="699" t="s">
        <v>87</v>
      </c>
    </row>
    <row r="279" spans="1:26" x14ac:dyDescent="0.2">
      <c r="A279" s="880" t="s">
        <v>1041</v>
      </c>
      <c r="B279" s="169">
        <v>6</v>
      </c>
      <c r="C279" s="137" t="s">
        <v>90</v>
      </c>
      <c r="D279" s="137" t="s">
        <v>90</v>
      </c>
      <c r="E279" s="137" t="s">
        <v>90</v>
      </c>
      <c r="F279" s="152" t="str">
        <f t="shared" si="90"/>
        <v>-</v>
      </c>
      <c r="G279" s="285" t="str">
        <f t="shared" si="92"/>
        <v>-</v>
      </c>
      <c r="H279" s="137" t="s">
        <v>90</v>
      </c>
      <c r="I279" s="230"/>
      <c r="J279" s="1460"/>
      <c r="K279" s="1458"/>
      <c r="L279" s="1458"/>
      <c r="M279" s="1459"/>
      <c r="P279" s="699" t="s">
        <v>87</v>
      </c>
      <c r="Z279" s="699" t="s">
        <v>87</v>
      </c>
    </row>
    <row r="280" spans="1:26" x14ac:dyDescent="0.2">
      <c r="A280" s="881" t="s">
        <v>1042</v>
      </c>
      <c r="B280" s="162">
        <v>7</v>
      </c>
      <c r="C280" s="139" t="s">
        <v>90</v>
      </c>
      <c r="D280" s="139" t="s">
        <v>90</v>
      </c>
      <c r="E280" s="139" t="s">
        <v>90</v>
      </c>
      <c r="F280" s="882" t="str">
        <f t="shared" si="90"/>
        <v>-</v>
      </c>
      <c r="G280" s="153" t="str">
        <f t="shared" si="92"/>
        <v>-</v>
      </c>
      <c r="H280" s="139" t="s">
        <v>90</v>
      </c>
      <c r="I280" s="323"/>
      <c r="J280" s="1461"/>
      <c r="K280" s="1462"/>
      <c r="L280" s="1462"/>
      <c r="M280" s="1463"/>
      <c r="P280" s="699" t="s">
        <v>87</v>
      </c>
      <c r="Z280" s="699" t="s">
        <v>87</v>
      </c>
    </row>
    <row r="281" spans="1:26" x14ac:dyDescent="0.2">
      <c r="A281" s="879" t="s">
        <v>1028</v>
      </c>
      <c r="B281" s="883">
        <v>8</v>
      </c>
      <c r="C281" s="225"/>
      <c r="D281" s="225"/>
      <c r="E281" s="225"/>
      <c r="F281" s="885">
        <f>SUM(F283:F290)</f>
        <v>0</v>
      </c>
      <c r="G281" s="565">
        <f>SUM(G283:G290)</f>
        <v>0</v>
      </c>
      <c r="H281" s="225"/>
      <c r="I281" s="225"/>
      <c r="J281" s="1454"/>
      <c r="K281" s="1455"/>
      <c r="L281" s="1455"/>
      <c r="M281" s="1456"/>
      <c r="P281" s="699" t="s">
        <v>87</v>
      </c>
      <c r="Z281" s="699" t="s">
        <v>87</v>
      </c>
    </row>
    <row r="282" spans="1:26" x14ac:dyDescent="0.2">
      <c r="A282" s="880" t="s">
        <v>1040</v>
      </c>
      <c r="B282" s="169"/>
      <c r="C282" s="230"/>
      <c r="D282" s="230"/>
      <c r="E282" s="230"/>
      <c r="F282" s="230"/>
      <c r="G282" s="230"/>
      <c r="H282" s="230"/>
      <c r="I282" s="230"/>
      <c r="J282" s="1457"/>
      <c r="K282" s="1458"/>
      <c r="L282" s="1458"/>
      <c r="M282" s="1459"/>
      <c r="P282" s="699" t="s">
        <v>87</v>
      </c>
      <c r="Z282" s="699" t="s">
        <v>87</v>
      </c>
    </row>
    <row r="283" spans="1:26" x14ac:dyDescent="0.2">
      <c r="A283" s="287" t="s">
        <v>1043</v>
      </c>
      <c r="B283" s="169">
        <v>9</v>
      </c>
      <c r="C283" s="149" t="s">
        <v>90</v>
      </c>
      <c r="D283" s="149" t="s">
        <v>90</v>
      </c>
      <c r="E283" s="149" t="s">
        <v>90</v>
      </c>
      <c r="F283" s="282" t="str">
        <f t="shared" ref="F283:F290" si="93">IF(OR(C283&lt;&gt;"-",D283&lt;&gt;"-",E283&lt;&gt;"-"),MAX(0,SUM(C283)-SUM(D283)-SUM(E283)),"-")</f>
        <v>-</v>
      </c>
      <c r="G283" s="282" t="str">
        <f t="shared" ref="G283:G284" si="94">IF(OR(C283&lt;&gt;"-",D283&lt;&gt;"-"),MAX(0,SUM(C283)-SUM(D283)),"-")</f>
        <v>-</v>
      </c>
      <c r="H283" s="149" t="s">
        <v>90</v>
      </c>
      <c r="I283" s="742"/>
      <c r="J283" s="1460"/>
      <c r="K283" s="1458"/>
      <c r="L283" s="1458"/>
      <c r="M283" s="1459"/>
      <c r="P283" s="699" t="s">
        <v>87</v>
      </c>
      <c r="Z283" s="699" t="s">
        <v>87</v>
      </c>
    </row>
    <row r="284" spans="1:26" x14ac:dyDescent="0.2">
      <c r="A284" s="287" t="s">
        <v>1044</v>
      </c>
      <c r="B284" s="169">
        <v>10</v>
      </c>
      <c r="C284" s="139" t="s">
        <v>90</v>
      </c>
      <c r="D284" s="139" t="s">
        <v>90</v>
      </c>
      <c r="E284" s="139" t="s">
        <v>90</v>
      </c>
      <c r="F284" s="882" t="str">
        <f t="shared" si="93"/>
        <v>-</v>
      </c>
      <c r="G284" s="153" t="str">
        <f t="shared" si="94"/>
        <v>-</v>
      </c>
      <c r="H284" s="323"/>
      <c r="I284" s="139" t="s">
        <v>90</v>
      </c>
      <c r="J284" s="1460"/>
      <c r="K284" s="1458"/>
      <c r="L284" s="1458"/>
      <c r="M284" s="1459"/>
      <c r="P284" s="699" t="s">
        <v>87</v>
      </c>
      <c r="Z284" s="699" t="s">
        <v>87</v>
      </c>
    </row>
    <row r="285" spans="1:26" x14ac:dyDescent="0.2">
      <c r="A285" s="880" t="s">
        <v>1041</v>
      </c>
      <c r="B285" s="169"/>
      <c r="C285" s="230"/>
      <c r="D285" s="230"/>
      <c r="E285" s="230"/>
      <c r="F285" s="230"/>
      <c r="G285" s="230"/>
      <c r="H285" s="230"/>
      <c r="I285" s="230"/>
      <c r="J285" s="1457"/>
      <c r="K285" s="1458"/>
      <c r="L285" s="1458"/>
      <c r="M285" s="1459"/>
      <c r="P285" s="699" t="s">
        <v>87</v>
      </c>
      <c r="Z285" s="699" t="s">
        <v>87</v>
      </c>
    </row>
    <row r="286" spans="1:26" x14ac:dyDescent="0.2">
      <c r="A286" s="287" t="s">
        <v>1043</v>
      </c>
      <c r="B286" s="169">
        <v>11</v>
      </c>
      <c r="C286" s="149" t="s">
        <v>90</v>
      </c>
      <c r="D286" s="149" t="s">
        <v>90</v>
      </c>
      <c r="E286" s="149" t="s">
        <v>90</v>
      </c>
      <c r="F286" s="282" t="str">
        <f t="shared" si="93"/>
        <v>-</v>
      </c>
      <c r="G286" s="282" t="str">
        <f t="shared" ref="G286:G287" si="95">IF(OR(C286&lt;&gt;"-",D286&lt;&gt;"-"),MAX(0,SUM(C286)-SUM(D286)),"-")</f>
        <v>-</v>
      </c>
      <c r="H286" s="149" t="s">
        <v>90</v>
      </c>
      <c r="I286" s="742"/>
      <c r="J286" s="1460"/>
      <c r="K286" s="1458"/>
      <c r="L286" s="1458"/>
      <c r="M286" s="1459"/>
      <c r="P286" s="699" t="s">
        <v>87</v>
      </c>
      <c r="Z286" s="699" t="s">
        <v>87</v>
      </c>
    </row>
    <row r="287" spans="1:26" x14ac:dyDescent="0.2">
      <c r="A287" s="287" t="s">
        <v>1044</v>
      </c>
      <c r="B287" s="169">
        <v>12</v>
      </c>
      <c r="C287" s="139" t="s">
        <v>90</v>
      </c>
      <c r="D287" s="139" t="s">
        <v>90</v>
      </c>
      <c r="E287" s="139" t="s">
        <v>90</v>
      </c>
      <c r="F287" s="882" t="str">
        <f t="shared" si="93"/>
        <v>-</v>
      </c>
      <c r="G287" s="153" t="str">
        <f t="shared" si="95"/>
        <v>-</v>
      </c>
      <c r="H287" s="323"/>
      <c r="I287" s="139" t="s">
        <v>90</v>
      </c>
      <c r="J287" s="1460"/>
      <c r="K287" s="1458"/>
      <c r="L287" s="1458"/>
      <c r="M287" s="1459"/>
      <c r="P287" s="699" t="s">
        <v>87</v>
      </c>
      <c r="Z287" s="699" t="s">
        <v>87</v>
      </c>
    </row>
    <row r="288" spans="1:26" x14ac:dyDescent="0.2">
      <c r="A288" s="880" t="s">
        <v>1042</v>
      </c>
      <c r="B288" s="169"/>
      <c r="C288" s="230"/>
      <c r="D288" s="230"/>
      <c r="E288" s="230"/>
      <c r="F288" s="230"/>
      <c r="G288" s="230"/>
      <c r="H288" s="230"/>
      <c r="I288" s="230"/>
      <c r="J288" s="1457"/>
      <c r="K288" s="1458"/>
      <c r="L288" s="1458"/>
      <c r="M288" s="1459"/>
      <c r="P288" s="699" t="s">
        <v>87</v>
      </c>
      <c r="Z288" s="699" t="s">
        <v>87</v>
      </c>
    </row>
    <row r="289" spans="1:26" x14ac:dyDescent="0.2">
      <c r="A289" s="287" t="s">
        <v>1043</v>
      </c>
      <c r="B289" s="169">
        <v>13</v>
      </c>
      <c r="C289" s="149" t="s">
        <v>90</v>
      </c>
      <c r="D289" s="149" t="s">
        <v>90</v>
      </c>
      <c r="E289" s="149" t="s">
        <v>90</v>
      </c>
      <c r="F289" s="282" t="str">
        <f t="shared" si="93"/>
        <v>-</v>
      </c>
      <c r="G289" s="282" t="str">
        <f t="shared" ref="G289:G290" si="96">IF(OR(C289&lt;&gt;"-",D289&lt;&gt;"-"),MAX(0,SUM(C289)-SUM(D289)),"-")</f>
        <v>-</v>
      </c>
      <c r="H289" s="149" t="s">
        <v>90</v>
      </c>
      <c r="I289" s="742"/>
      <c r="J289" s="1460"/>
      <c r="K289" s="1458"/>
      <c r="L289" s="1458"/>
      <c r="M289" s="1459"/>
      <c r="P289" s="699" t="s">
        <v>87</v>
      </c>
      <c r="Z289" s="699" t="s">
        <v>87</v>
      </c>
    </row>
    <row r="290" spans="1:26" x14ac:dyDescent="0.2">
      <c r="A290" s="291" t="s">
        <v>1044</v>
      </c>
      <c r="B290" s="162">
        <v>14</v>
      </c>
      <c r="C290" s="139" t="s">
        <v>90</v>
      </c>
      <c r="D290" s="139" t="s">
        <v>90</v>
      </c>
      <c r="E290" s="139" t="s">
        <v>90</v>
      </c>
      <c r="F290" s="882" t="str">
        <f t="shared" si="93"/>
        <v>-</v>
      </c>
      <c r="G290" s="153" t="str">
        <f t="shared" si="96"/>
        <v>-</v>
      </c>
      <c r="H290" s="323"/>
      <c r="I290" s="139" t="s">
        <v>90</v>
      </c>
      <c r="J290" s="1461"/>
      <c r="K290" s="1462"/>
      <c r="L290" s="1462"/>
      <c r="M290" s="1463"/>
      <c r="P290" s="699" t="s">
        <v>87</v>
      </c>
      <c r="Z290" s="699" t="s">
        <v>87</v>
      </c>
    </row>
    <row r="291" spans="1:26" x14ac:dyDescent="0.2">
      <c r="A291" s="879" t="s">
        <v>1029</v>
      </c>
      <c r="B291" s="883">
        <v>15</v>
      </c>
      <c r="C291" s="225"/>
      <c r="D291" s="225"/>
      <c r="E291" s="225"/>
      <c r="F291" s="885">
        <f>SUM(F293:F300)</f>
        <v>0</v>
      </c>
      <c r="G291" s="565">
        <f>SUM(G293:G300)</f>
        <v>0</v>
      </c>
      <c r="H291" s="225"/>
      <c r="I291" s="225"/>
      <c r="J291" s="1454"/>
      <c r="K291" s="1455"/>
      <c r="L291" s="1455"/>
      <c r="M291" s="1456"/>
      <c r="P291" s="699" t="s">
        <v>87</v>
      </c>
      <c r="Z291" s="699" t="s">
        <v>87</v>
      </c>
    </row>
    <row r="292" spans="1:26" x14ac:dyDescent="0.2">
      <c r="A292" s="880" t="s">
        <v>1040</v>
      </c>
      <c r="B292" s="169"/>
      <c r="C292" s="230"/>
      <c r="D292" s="230"/>
      <c r="E292" s="230"/>
      <c r="F292" s="230"/>
      <c r="G292" s="230"/>
      <c r="H292" s="230"/>
      <c r="I292" s="230"/>
      <c r="J292" s="1457"/>
      <c r="K292" s="1458"/>
      <c r="L292" s="1458"/>
      <c r="M292" s="1459"/>
      <c r="P292" s="699" t="s">
        <v>87</v>
      </c>
      <c r="Z292" s="699" t="s">
        <v>87</v>
      </c>
    </row>
    <row r="293" spans="1:26" x14ac:dyDescent="0.2">
      <c r="A293" s="287" t="s">
        <v>1043</v>
      </c>
      <c r="B293" s="169">
        <v>16</v>
      </c>
      <c r="C293" s="149" t="s">
        <v>90</v>
      </c>
      <c r="D293" s="149" t="s">
        <v>90</v>
      </c>
      <c r="E293" s="149" t="s">
        <v>90</v>
      </c>
      <c r="F293" s="282" t="str">
        <f t="shared" ref="F293:F300" si="97">IF(OR(C293&lt;&gt;"-",D293&lt;&gt;"-",E293&lt;&gt;"-"),MAX(0,SUM(C293)-SUM(D293)-SUM(E293)),"-")</f>
        <v>-</v>
      </c>
      <c r="G293" s="282" t="str">
        <f t="shared" ref="G293:G294" si="98">IF(OR(C293&lt;&gt;"-",D293&lt;&gt;"-"),MAX(0,SUM(C293)-SUM(D293)),"-")</f>
        <v>-</v>
      </c>
      <c r="H293" s="149" t="s">
        <v>90</v>
      </c>
      <c r="I293" s="742"/>
      <c r="J293" s="1460"/>
      <c r="K293" s="1458"/>
      <c r="L293" s="1458"/>
      <c r="M293" s="1459"/>
      <c r="P293" s="699" t="s">
        <v>87</v>
      </c>
      <c r="Z293" s="699" t="s">
        <v>87</v>
      </c>
    </row>
    <row r="294" spans="1:26" x14ac:dyDescent="0.2">
      <c r="A294" s="287" t="s">
        <v>1044</v>
      </c>
      <c r="B294" s="169">
        <v>17</v>
      </c>
      <c r="C294" s="139" t="s">
        <v>90</v>
      </c>
      <c r="D294" s="139" t="s">
        <v>90</v>
      </c>
      <c r="E294" s="139" t="s">
        <v>90</v>
      </c>
      <c r="F294" s="882" t="str">
        <f t="shared" si="97"/>
        <v>-</v>
      </c>
      <c r="G294" s="153" t="str">
        <f t="shared" si="98"/>
        <v>-</v>
      </c>
      <c r="H294" s="323"/>
      <c r="I294" s="139" t="s">
        <v>90</v>
      </c>
      <c r="J294" s="1460"/>
      <c r="K294" s="1458"/>
      <c r="L294" s="1458"/>
      <c r="M294" s="1459"/>
      <c r="P294" s="699" t="s">
        <v>87</v>
      </c>
      <c r="Z294" s="699" t="s">
        <v>87</v>
      </c>
    </row>
    <row r="295" spans="1:26" x14ac:dyDescent="0.2">
      <c r="A295" s="880" t="s">
        <v>1041</v>
      </c>
      <c r="B295" s="169"/>
      <c r="C295" s="230"/>
      <c r="D295" s="230"/>
      <c r="E295" s="230"/>
      <c r="F295" s="230"/>
      <c r="G295" s="230"/>
      <c r="H295" s="230"/>
      <c r="I295" s="230"/>
      <c r="J295" s="1457"/>
      <c r="K295" s="1458"/>
      <c r="L295" s="1458"/>
      <c r="M295" s="1459"/>
      <c r="P295" s="699" t="s">
        <v>87</v>
      </c>
      <c r="Z295" s="699" t="s">
        <v>87</v>
      </c>
    </row>
    <row r="296" spans="1:26" x14ac:dyDescent="0.2">
      <c r="A296" s="287" t="s">
        <v>1043</v>
      </c>
      <c r="B296" s="169">
        <v>18</v>
      </c>
      <c r="C296" s="149" t="s">
        <v>90</v>
      </c>
      <c r="D296" s="149" t="s">
        <v>90</v>
      </c>
      <c r="E296" s="149" t="s">
        <v>90</v>
      </c>
      <c r="F296" s="282" t="str">
        <f t="shared" si="97"/>
        <v>-</v>
      </c>
      <c r="G296" s="282" t="str">
        <f t="shared" ref="G296:G297" si="99">IF(OR(C296&lt;&gt;"-",D296&lt;&gt;"-"),MAX(0,SUM(C296)-SUM(D296)),"-")</f>
        <v>-</v>
      </c>
      <c r="H296" s="149" t="s">
        <v>90</v>
      </c>
      <c r="I296" s="742"/>
      <c r="J296" s="1460"/>
      <c r="K296" s="1458"/>
      <c r="L296" s="1458"/>
      <c r="M296" s="1459"/>
      <c r="P296" s="699" t="s">
        <v>87</v>
      </c>
      <c r="Z296" s="699" t="s">
        <v>87</v>
      </c>
    </row>
    <row r="297" spans="1:26" x14ac:dyDescent="0.2">
      <c r="A297" s="287" t="s">
        <v>1044</v>
      </c>
      <c r="B297" s="169">
        <v>19</v>
      </c>
      <c r="C297" s="139" t="s">
        <v>90</v>
      </c>
      <c r="D297" s="139" t="s">
        <v>90</v>
      </c>
      <c r="E297" s="139" t="s">
        <v>90</v>
      </c>
      <c r="F297" s="882" t="str">
        <f t="shared" si="97"/>
        <v>-</v>
      </c>
      <c r="G297" s="153" t="str">
        <f t="shared" si="99"/>
        <v>-</v>
      </c>
      <c r="H297" s="323"/>
      <c r="I297" s="139" t="s">
        <v>90</v>
      </c>
      <c r="J297" s="1460"/>
      <c r="K297" s="1458"/>
      <c r="L297" s="1458"/>
      <c r="M297" s="1459"/>
      <c r="P297" s="699" t="s">
        <v>87</v>
      </c>
      <c r="Z297" s="699" t="s">
        <v>87</v>
      </c>
    </row>
    <row r="298" spans="1:26" x14ac:dyDescent="0.2">
      <c r="A298" s="880" t="s">
        <v>1042</v>
      </c>
      <c r="B298" s="169"/>
      <c r="C298" s="230"/>
      <c r="D298" s="230"/>
      <c r="E298" s="230"/>
      <c r="F298" s="230"/>
      <c r="G298" s="230"/>
      <c r="H298" s="230"/>
      <c r="I298" s="230"/>
      <c r="J298" s="1457"/>
      <c r="K298" s="1458"/>
      <c r="L298" s="1458"/>
      <c r="M298" s="1459"/>
      <c r="P298" s="699" t="s">
        <v>87</v>
      </c>
      <c r="Z298" s="699" t="s">
        <v>87</v>
      </c>
    </row>
    <row r="299" spans="1:26" x14ac:dyDescent="0.2">
      <c r="A299" s="287" t="s">
        <v>1043</v>
      </c>
      <c r="B299" s="169">
        <v>20</v>
      </c>
      <c r="C299" s="149" t="s">
        <v>90</v>
      </c>
      <c r="D299" s="149" t="s">
        <v>90</v>
      </c>
      <c r="E299" s="149" t="s">
        <v>90</v>
      </c>
      <c r="F299" s="282" t="str">
        <f t="shared" si="97"/>
        <v>-</v>
      </c>
      <c r="G299" s="282" t="str">
        <f t="shared" ref="G299:G300" si="100">IF(OR(C299&lt;&gt;"-",D299&lt;&gt;"-"),MAX(0,SUM(C299)-SUM(D299)),"-")</f>
        <v>-</v>
      </c>
      <c r="H299" s="149" t="s">
        <v>90</v>
      </c>
      <c r="I299" s="742"/>
      <c r="J299" s="1460"/>
      <c r="K299" s="1458"/>
      <c r="L299" s="1458"/>
      <c r="M299" s="1459"/>
      <c r="P299" s="699" t="s">
        <v>87</v>
      </c>
      <c r="Z299" s="699" t="s">
        <v>87</v>
      </c>
    </row>
    <row r="300" spans="1:26" x14ac:dyDescent="0.2">
      <c r="A300" s="291" t="s">
        <v>1044</v>
      </c>
      <c r="B300" s="162">
        <v>21</v>
      </c>
      <c r="C300" s="139" t="s">
        <v>90</v>
      </c>
      <c r="D300" s="139" t="s">
        <v>90</v>
      </c>
      <c r="E300" s="139" t="s">
        <v>90</v>
      </c>
      <c r="F300" s="882" t="str">
        <f t="shared" si="97"/>
        <v>-</v>
      </c>
      <c r="G300" s="153" t="str">
        <f t="shared" si="100"/>
        <v>-</v>
      </c>
      <c r="H300" s="323"/>
      <c r="I300" s="139" t="s">
        <v>90</v>
      </c>
      <c r="J300" s="1461"/>
      <c r="K300" s="1462"/>
      <c r="L300" s="1462"/>
      <c r="M300" s="1463"/>
      <c r="P300" s="699" t="s">
        <v>87</v>
      </c>
      <c r="Z300" s="699" t="s">
        <v>87</v>
      </c>
    </row>
    <row r="301" spans="1:26" x14ac:dyDescent="0.2">
      <c r="A301" s="879" t="s">
        <v>1030</v>
      </c>
      <c r="B301" s="883">
        <v>22</v>
      </c>
      <c r="C301" s="225"/>
      <c r="D301" s="225"/>
      <c r="E301" s="225"/>
      <c r="F301" s="885">
        <f>SUM(F303:F310)</f>
        <v>0</v>
      </c>
      <c r="G301" s="565">
        <f>SUM(G303:G310)</f>
        <v>0</v>
      </c>
      <c r="H301" s="225"/>
      <c r="I301" s="225"/>
      <c r="J301" s="1454"/>
      <c r="K301" s="1455"/>
      <c r="L301" s="1455"/>
      <c r="M301" s="1456"/>
      <c r="P301" s="699" t="s">
        <v>87</v>
      </c>
      <c r="Z301" s="699" t="s">
        <v>87</v>
      </c>
    </row>
    <row r="302" spans="1:26" x14ac:dyDescent="0.2">
      <c r="A302" s="880" t="s">
        <v>1040</v>
      </c>
      <c r="B302" s="169"/>
      <c r="C302" s="230"/>
      <c r="D302" s="230"/>
      <c r="E302" s="230"/>
      <c r="F302" s="230"/>
      <c r="G302" s="230"/>
      <c r="H302" s="230"/>
      <c r="I302" s="230"/>
      <c r="J302" s="1457"/>
      <c r="K302" s="1458"/>
      <c r="L302" s="1458"/>
      <c r="M302" s="1459"/>
      <c r="P302" s="699" t="s">
        <v>87</v>
      </c>
      <c r="Z302" s="699" t="s">
        <v>87</v>
      </c>
    </row>
    <row r="303" spans="1:26" x14ac:dyDescent="0.2">
      <c r="A303" s="287" t="s">
        <v>1043</v>
      </c>
      <c r="B303" s="169">
        <v>23</v>
      </c>
      <c r="C303" s="149" t="s">
        <v>90</v>
      </c>
      <c r="D303" s="149" t="s">
        <v>90</v>
      </c>
      <c r="E303" s="149" t="s">
        <v>90</v>
      </c>
      <c r="F303" s="282" t="str">
        <f t="shared" ref="F303:F310" si="101">IF(OR(C303&lt;&gt;"-",D303&lt;&gt;"-",E303&lt;&gt;"-"),MAX(0,SUM(C303)-SUM(D303)-SUM(E303)),"-")</f>
        <v>-</v>
      </c>
      <c r="G303" s="282" t="str">
        <f t="shared" ref="G303:G304" si="102">IF(OR(C303&lt;&gt;"-",D303&lt;&gt;"-"),MAX(0,SUM(C303)-SUM(D303)),"-")</f>
        <v>-</v>
      </c>
      <c r="H303" s="149" t="s">
        <v>90</v>
      </c>
      <c r="I303" s="742"/>
      <c r="J303" s="1460"/>
      <c r="K303" s="1458"/>
      <c r="L303" s="1458"/>
      <c r="M303" s="1459"/>
      <c r="P303" s="699" t="s">
        <v>87</v>
      </c>
      <c r="Z303" s="699" t="s">
        <v>87</v>
      </c>
    </row>
    <row r="304" spans="1:26" x14ac:dyDescent="0.2">
      <c r="A304" s="287" t="s">
        <v>1044</v>
      </c>
      <c r="B304" s="169">
        <v>24</v>
      </c>
      <c r="C304" s="139" t="s">
        <v>90</v>
      </c>
      <c r="D304" s="139" t="s">
        <v>90</v>
      </c>
      <c r="E304" s="139" t="s">
        <v>90</v>
      </c>
      <c r="F304" s="882" t="str">
        <f t="shared" si="101"/>
        <v>-</v>
      </c>
      <c r="G304" s="153" t="str">
        <f t="shared" si="102"/>
        <v>-</v>
      </c>
      <c r="H304" s="323"/>
      <c r="I304" s="139" t="s">
        <v>90</v>
      </c>
      <c r="J304" s="1460"/>
      <c r="K304" s="1458"/>
      <c r="L304" s="1458"/>
      <c r="M304" s="1459"/>
      <c r="P304" s="699" t="s">
        <v>87</v>
      </c>
      <c r="Z304" s="699" t="s">
        <v>87</v>
      </c>
    </row>
    <row r="305" spans="1:26" x14ac:dyDescent="0.2">
      <c r="A305" s="880" t="s">
        <v>1041</v>
      </c>
      <c r="B305" s="169"/>
      <c r="C305" s="230"/>
      <c r="D305" s="230"/>
      <c r="E305" s="230"/>
      <c r="F305" s="230"/>
      <c r="G305" s="230"/>
      <c r="H305" s="230"/>
      <c r="I305" s="230"/>
      <c r="J305" s="1457"/>
      <c r="K305" s="1458"/>
      <c r="L305" s="1458"/>
      <c r="M305" s="1459"/>
      <c r="P305" s="699" t="s">
        <v>87</v>
      </c>
      <c r="Z305" s="699" t="s">
        <v>87</v>
      </c>
    </row>
    <row r="306" spans="1:26" x14ac:dyDescent="0.2">
      <c r="A306" s="287" t="s">
        <v>1043</v>
      </c>
      <c r="B306" s="169">
        <v>25</v>
      </c>
      <c r="C306" s="149" t="s">
        <v>90</v>
      </c>
      <c r="D306" s="149" t="s">
        <v>90</v>
      </c>
      <c r="E306" s="149" t="s">
        <v>90</v>
      </c>
      <c r="F306" s="282" t="str">
        <f t="shared" si="101"/>
        <v>-</v>
      </c>
      <c r="G306" s="282" t="str">
        <f t="shared" ref="G306:G307" si="103">IF(OR(C306&lt;&gt;"-",D306&lt;&gt;"-"),MAX(0,SUM(C306)-SUM(D306)),"-")</f>
        <v>-</v>
      </c>
      <c r="H306" s="149" t="s">
        <v>90</v>
      </c>
      <c r="I306" s="742"/>
      <c r="J306" s="1460"/>
      <c r="K306" s="1458"/>
      <c r="L306" s="1458"/>
      <c r="M306" s="1459"/>
      <c r="P306" s="699" t="s">
        <v>87</v>
      </c>
      <c r="Z306" s="699" t="s">
        <v>87</v>
      </c>
    </row>
    <row r="307" spans="1:26" x14ac:dyDescent="0.2">
      <c r="A307" s="287" t="s">
        <v>1044</v>
      </c>
      <c r="B307" s="169">
        <v>26</v>
      </c>
      <c r="C307" s="139" t="s">
        <v>90</v>
      </c>
      <c r="D307" s="139" t="s">
        <v>90</v>
      </c>
      <c r="E307" s="139" t="s">
        <v>90</v>
      </c>
      <c r="F307" s="882" t="str">
        <f t="shared" si="101"/>
        <v>-</v>
      </c>
      <c r="G307" s="153" t="str">
        <f t="shared" si="103"/>
        <v>-</v>
      </c>
      <c r="H307" s="323"/>
      <c r="I307" s="139" t="s">
        <v>90</v>
      </c>
      <c r="J307" s="1460"/>
      <c r="K307" s="1458"/>
      <c r="L307" s="1458"/>
      <c r="M307" s="1459"/>
      <c r="P307" s="699" t="s">
        <v>87</v>
      </c>
      <c r="Z307" s="699" t="s">
        <v>87</v>
      </c>
    </row>
    <row r="308" spans="1:26" x14ac:dyDescent="0.2">
      <c r="A308" s="880" t="s">
        <v>1042</v>
      </c>
      <c r="B308" s="169"/>
      <c r="C308" s="230"/>
      <c r="D308" s="230"/>
      <c r="E308" s="230"/>
      <c r="F308" s="230"/>
      <c r="G308" s="230"/>
      <c r="H308" s="230"/>
      <c r="I308" s="230"/>
      <c r="J308" s="1457"/>
      <c r="K308" s="1458"/>
      <c r="L308" s="1458"/>
      <c r="M308" s="1459"/>
      <c r="P308" s="699" t="s">
        <v>87</v>
      </c>
      <c r="Z308" s="699" t="s">
        <v>87</v>
      </c>
    </row>
    <row r="309" spans="1:26" x14ac:dyDescent="0.2">
      <c r="A309" s="287" t="s">
        <v>1043</v>
      </c>
      <c r="B309" s="169">
        <v>27</v>
      </c>
      <c r="C309" s="149" t="s">
        <v>90</v>
      </c>
      <c r="D309" s="149" t="s">
        <v>90</v>
      </c>
      <c r="E309" s="149" t="s">
        <v>90</v>
      </c>
      <c r="F309" s="282" t="str">
        <f t="shared" si="101"/>
        <v>-</v>
      </c>
      <c r="G309" s="282" t="str">
        <f t="shared" ref="G309:G310" si="104">IF(OR(C309&lt;&gt;"-",D309&lt;&gt;"-"),MAX(0,SUM(C309)-SUM(D309)),"-")</f>
        <v>-</v>
      </c>
      <c r="H309" s="149" t="s">
        <v>90</v>
      </c>
      <c r="I309" s="742"/>
      <c r="J309" s="1460"/>
      <c r="K309" s="1458"/>
      <c r="L309" s="1458"/>
      <c r="M309" s="1459"/>
      <c r="P309" s="699" t="s">
        <v>87</v>
      </c>
      <c r="Z309" s="699" t="s">
        <v>87</v>
      </c>
    </row>
    <row r="310" spans="1:26" x14ac:dyDescent="0.2">
      <c r="A310" s="291" t="s">
        <v>1044</v>
      </c>
      <c r="B310" s="162">
        <v>28</v>
      </c>
      <c r="C310" s="139" t="s">
        <v>90</v>
      </c>
      <c r="D310" s="139" t="s">
        <v>90</v>
      </c>
      <c r="E310" s="139" t="s">
        <v>90</v>
      </c>
      <c r="F310" s="882" t="str">
        <f t="shared" si="101"/>
        <v>-</v>
      </c>
      <c r="G310" s="153" t="str">
        <f t="shared" si="104"/>
        <v>-</v>
      </c>
      <c r="H310" s="323"/>
      <c r="I310" s="139" t="s">
        <v>90</v>
      </c>
      <c r="J310" s="1461"/>
      <c r="K310" s="1462"/>
      <c r="L310" s="1462"/>
      <c r="M310" s="1463"/>
      <c r="P310" s="699" t="s">
        <v>87</v>
      </c>
      <c r="Z310" s="699" t="s">
        <v>87</v>
      </c>
    </row>
    <row r="311" spans="1:26" x14ac:dyDescent="0.2">
      <c r="P311" s="699" t="s">
        <v>87</v>
      </c>
      <c r="Z311" s="699" t="s">
        <v>87</v>
      </c>
    </row>
    <row r="312" spans="1:26" ht="14.25" x14ac:dyDescent="0.2">
      <c r="A312" s="707"/>
      <c r="B312" s="708"/>
      <c r="C312" s="328" t="s">
        <v>1045</v>
      </c>
      <c r="D312" s="331"/>
      <c r="E312" s="328"/>
      <c r="F312" s="328"/>
      <c r="G312" s="331"/>
      <c r="P312" s="699" t="s">
        <v>87</v>
      </c>
      <c r="Z312" s="699" t="s">
        <v>87</v>
      </c>
    </row>
    <row r="313" spans="1:26" ht="51" x14ac:dyDescent="0.2">
      <c r="A313" s="865" t="s">
        <v>1046</v>
      </c>
      <c r="B313" s="866"/>
      <c r="C313" s="340"/>
      <c r="D313" s="341"/>
      <c r="E313" s="278" t="s">
        <v>990</v>
      </c>
      <c r="F313" s="278" t="s">
        <v>691</v>
      </c>
      <c r="G313" s="278" t="s">
        <v>690</v>
      </c>
      <c r="P313" s="699" t="s">
        <v>87</v>
      </c>
      <c r="Z313" s="699" t="s">
        <v>87</v>
      </c>
    </row>
    <row r="314" spans="1:26" ht="14.25" x14ac:dyDescent="0.2">
      <c r="A314" s="662"/>
      <c r="B314" s="104">
        <v>88</v>
      </c>
      <c r="C314" s="105"/>
      <c r="D314" s="105"/>
      <c r="E314" s="105">
        <v>3</v>
      </c>
      <c r="F314" s="105">
        <v>4</v>
      </c>
      <c r="G314" s="106" t="s">
        <v>1047</v>
      </c>
      <c r="P314" s="699" t="s">
        <v>87</v>
      </c>
      <c r="Z314" s="699" t="s">
        <v>87</v>
      </c>
    </row>
    <row r="315" spans="1:26" ht="14.25" x14ac:dyDescent="0.2">
      <c r="A315" s="867" t="s">
        <v>1023</v>
      </c>
      <c r="B315" s="108">
        <v>1</v>
      </c>
      <c r="C315" s="887"/>
      <c r="D315" s="888"/>
      <c r="E315" s="127">
        <f>SUM(E316:E321)</f>
        <v>0</v>
      </c>
      <c r="F315" s="127">
        <f t="shared" ref="F315:G315" si="105">SUM(F316:F321)</f>
        <v>0</v>
      </c>
      <c r="G315" s="127">
        <f t="shared" si="105"/>
        <v>0</v>
      </c>
      <c r="P315" s="699" t="s">
        <v>87</v>
      </c>
      <c r="Z315" s="699" t="s">
        <v>87</v>
      </c>
    </row>
    <row r="316" spans="1:26" ht="14.25" x14ac:dyDescent="0.2">
      <c r="A316" s="871" t="s">
        <v>721</v>
      </c>
      <c r="B316" s="108">
        <v>2</v>
      </c>
      <c r="C316" s="889"/>
      <c r="D316" s="890"/>
      <c r="E316" s="891">
        <f t="shared" ref="E316:E321" si="106">IF(F316=SUM(F327),SUM(G327)-SUM(F327),SUM(G340)-SUM(F340))</f>
        <v>0</v>
      </c>
      <c r="F316" s="891">
        <f t="shared" ref="F316:F321" si="107">MAX(F327,F340)</f>
        <v>0</v>
      </c>
      <c r="G316" s="891">
        <f>SUM(E316:F316)</f>
        <v>0</v>
      </c>
      <c r="P316" s="699" t="s">
        <v>87</v>
      </c>
      <c r="Z316" s="699" t="s">
        <v>87</v>
      </c>
    </row>
    <row r="317" spans="1:26" ht="14.25" x14ac:dyDescent="0.2">
      <c r="A317" s="871" t="s">
        <v>722</v>
      </c>
      <c r="B317" s="108">
        <v>3</v>
      </c>
      <c r="C317" s="889"/>
      <c r="D317" s="890"/>
      <c r="E317" s="892">
        <f t="shared" si="106"/>
        <v>0</v>
      </c>
      <c r="F317" s="892">
        <f t="shared" si="107"/>
        <v>0</v>
      </c>
      <c r="G317" s="892">
        <f t="shared" ref="G317:G321" si="108">SUM(E317:F317)</f>
        <v>0</v>
      </c>
      <c r="P317" s="699" t="s">
        <v>87</v>
      </c>
      <c r="Z317" s="699" t="s">
        <v>87</v>
      </c>
    </row>
    <row r="318" spans="1:26" ht="14.25" x14ac:dyDescent="0.2">
      <c r="A318" s="871" t="s">
        <v>723</v>
      </c>
      <c r="B318" s="108">
        <v>4</v>
      </c>
      <c r="C318" s="889"/>
      <c r="D318" s="890"/>
      <c r="E318" s="892">
        <f t="shared" si="106"/>
        <v>0</v>
      </c>
      <c r="F318" s="892">
        <f t="shared" si="107"/>
        <v>0</v>
      </c>
      <c r="G318" s="892">
        <f t="shared" si="108"/>
        <v>0</v>
      </c>
      <c r="P318" s="699" t="s">
        <v>87</v>
      </c>
      <c r="Z318" s="699" t="s">
        <v>87</v>
      </c>
    </row>
    <row r="319" spans="1:26" ht="14.25" x14ac:dyDescent="0.2">
      <c r="A319" s="871" t="s">
        <v>724</v>
      </c>
      <c r="B319" s="108">
        <v>5</v>
      </c>
      <c r="C319" s="889"/>
      <c r="D319" s="890"/>
      <c r="E319" s="892">
        <f t="shared" si="106"/>
        <v>0</v>
      </c>
      <c r="F319" s="892">
        <f t="shared" si="107"/>
        <v>0</v>
      </c>
      <c r="G319" s="892">
        <f t="shared" si="108"/>
        <v>0</v>
      </c>
      <c r="P319" s="699" t="s">
        <v>87</v>
      </c>
      <c r="Z319" s="699" t="s">
        <v>87</v>
      </c>
    </row>
    <row r="320" spans="1:26" ht="14.25" x14ac:dyDescent="0.2">
      <c r="A320" s="871" t="s">
        <v>725</v>
      </c>
      <c r="B320" s="108">
        <v>6</v>
      </c>
      <c r="C320" s="889"/>
      <c r="D320" s="890"/>
      <c r="E320" s="892">
        <f t="shared" si="106"/>
        <v>0</v>
      </c>
      <c r="F320" s="892">
        <f t="shared" si="107"/>
        <v>0</v>
      </c>
      <c r="G320" s="892">
        <f t="shared" si="108"/>
        <v>0</v>
      </c>
      <c r="P320" s="699" t="s">
        <v>87</v>
      </c>
      <c r="Z320" s="699" t="s">
        <v>87</v>
      </c>
    </row>
    <row r="321" spans="1:26" ht="14.25" x14ac:dyDescent="0.2">
      <c r="A321" s="872" t="s">
        <v>726</v>
      </c>
      <c r="B321" s="119">
        <v>7</v>
      </c>
      <c r="C321" s="893"/>
      <c r="D321" s="894"/>
      <c r="E321" s="895">
        <f t="shared" si="106"/>
        <v>0</v>
      </c>
      <c r="F321" s="895">
        <f t="shared" si="107"/>
        <v>0</v>
      </c>
      <c r="G321" s="895">
        <f t="shared" si="108"/>
        <v>0</v>
      </c>
      <c r="P321" s="699" t="s">
        <v>87</v>
      </c>
      <c r="Z321" s="699" t="s">
        <v>87</v>
      </c>
    </row>
    <row r="322" spans="1:26" x14ac:dyDescent="0.2">
      <c r="G322" s="190"/>
      <c r="P322" s="699" t="s">
        <v>87</v>
      </c>
      <c r="Z322" s="699" t="s">
        <v>87</v>
      </c>
    </row>
    <row r="323" spans="1:26" ht="25.5" customHeight="1" x14ac:dyDescent="0.2">
      <c r="A323" s="707"/>
      <c r="B323" s="764"/>
      <c r="C323" s="864" t="s">
        <v>1016</v>
      </c>
      <c r="F323" s="328" t="s">
        <v>1017</v>
      </c>
      <c r="G323" s="331"/>
      <c r="P323" s="699" t="s">
        <v>87</v>
      </c>
      <c r="Z323" s="699" t="s">
        <v>87</v>
      </c>
    </row>
    <row r="324" spans="1:26" ht="63.75" x14ac:dyDescent="0.2">
      <c r="A324" s="865" t="s">
        <v>1048</v>
      </c>
      <c r="B324" s="866"/>
      <c r="C324" s="278" t="s">
        <v>1019</v>
      </c>
      <c r="D324" s="278" t="s">
        <v>1020</v>
      </c>
      <c r="E324" s="278" t="s">
        <v>990</v>
      </c>
      <c r="F324" s="278" t="s">
        <v>691</v>
      </c>
      <c r="G324" s="278" t="s">
        <v>690</v>
      </c>
      <c r="P324" s="699" t="s">
        <v>87</v>
      </c>
      <c r="Z324" s="699" t="s">
        <v>87</v>
      </c>
    </row>
    <row r="325" spans="1:26" ht="14.25" x14ac:dyDescent="0.2">
      <c r="A325" s="662"/>
      <c r="B325" s="104">
        <v>89</v>
      </c>
      <c r="C325" s="105">
        <v>1</v>
      </c>
      <c r="D325" s="105">
        <v>2</v>
      </c>
      <c r="E325" s="105">
        <v>3</v>
      </c>
      <c r="F325" s="167" t="s">
        <v>1021</v>
      </c>
      <c r="G325" s="214" t="s">
        <v>1022</v>
      </c>
      <c r="P325" s="699" t="s">
        <v>87</v>
      </c>
      <c r="Z325" s="699" t="s">
        <v>87</v>
      </c>
    </row>
    <row r="326" spans="1:26" ht="14.25" x14ac:dyDescent="0.2">
      <c r="A326" s="867" t="s">
        <v>1023</v>
      </c>
      <c r="B326" s="108">
        <v>1</v>
      </c>
      <c r="C326" s="868"/>
      <c r="D326" s="869"/>
      <c r="E326" s="565" t="str">
        <f>IF(OR(G326&lt;&gt;"-",F326&lt;&gt;"-"),SUM(G326)-SUM(F326),"-")</f>
        <v>-</v>
      </c>
      <c r="F326" s="565" t="str">
        <f>IF(COUNTIF(F327:F332,"-")&lt;COUNTA(F327:F332),SUM(F327:F332),"-")</f>
        <v>-</v>
      </c>
      <c r="G326" s="565" t="str">
        <f>IF(COUNTIF(G327:G332,"-")&lt;COUNTA(G327:G332),SUM(G327:G332),"-")</f>
        <v>-</v>
      </c>
      <c r="P326" s="699" t="s">
        <v>87</v>
      </c>
      <c r="Z326" s="699" t="s">
        <v>87</v>
      </c>
    </row>
    <row r="327" spans="1:26" ht="14.25" x14ac:dyDescent="0.2">
      <c r="A327" s="871" t="s">
        <v>721</v>
      </c>
      <c r="B327" s="108">
        <v>2</v>
      </c>
      <c r="C327" s="149" t="s">
        <v>90</v>
      </c>
      <c r="D327" s="149" t="s">
        <v>90</v>
      </c>
      <c r="E327" s="149" t="s">
        <v>90</v>
      </c>
      <c r="F327" s="282" t="str">
        <f>IF(OR(C327&lt;&gt;"-",D327&lt;&gt;"-",E327&lt;&gt;"-"),MAX(0,SUM(C327)-SUM(D327)-SUM(E327)),"-")</f>
        <v>-</v>
      </c>
      <c r="G327" s="282" t="str">
        <f>IF(OR(C327&lt;&gt;"-",D327&lt;&gt;"-"),MAX(0,SUM(C327)-SUM(D327)),"-")</f>
        <v>-</v>
      </c>
      <c r="P327" s="699" t="s">
        <v>87</v>
      </c>
      <c r="Z327" s="699" t="s">
        <v>87</v>
      </c>
    </row>
    <row r="328" spans="1:26" ht="14.25" x14ac:dyDescent="0.2">
      <c r="A328" s="871" t="s">
        <v>722</v>
      </c>
      <c r="B328" s="108">
        <v>3</v>
      </c>
      <c r="C328" s="137" t="s">
        <v>90</v>
      </c>
      <c r="D328" s="137" t="s">
        <v>90</v>
      </c>
      <c r="E328" s="137" t="s">
        <v>90</v>
      </c>
      <c r="F328" s="285" t="str">
        <f t="shared" ref="F328:F332" si="109">IF(OR(C328&lt;&gt;"-",D328&lt;&gt;"-",E328&lt;&gt;"-"),MAX(0,SUM(C328)-SUM(D328)-SUM(E328)),"-")</f>
        <v>-</v>
      </c>
      <c r="G328" s="285" t="str">
        <f t="shared" ref="G328:G332" si="110">IF(OR(C328&lt;&gt;"-",D328&lt;&gt;"-"),MAX(0,SUM(C328)-SUM(D328)),"-")</f>
        <v>-</v>
      </c>
      <c r="P328" s="699" t="s">
        <v>87</v>
      </c>
      <c r="Z328" s="699" t="s">
        <v>87</v>
      </c>
    </row>
    <row r="329" spans="1:26" ht="14.25" x14ac:dyDescent="0.2">
      <c r="A329" s="871" t="s">
        <v>723</v>
      </c>
      <c r="B329" s="108">
        <v>4</v>
      </c>
      <c r="C329" s="137" t="s">
        <v>90</v>
      </c>
      <c r="D329" s="137" t="s">
        <v>90</v>
      </c>
      <c r="E329" s="137" t="s">
        <v>90</v>
      </c>
      <c r="F329" s="285" t="str">
        <f t="shared" si="109"/>
        <v>-</v>
      </c>
      <c r="G329" s="285" t="str">
        <f t="shared" si="110"/>
        <v>-</v>
      </c>
      <c r="P329" s="699" t="s">
        <v>87</v>
      </c>
      <c r="Z329" s="699" t="s">
        <v>87</v>
      </c>
    </row>
    <row r="330" spans="1:26" ht="14.25" x14ac:dyDescent="0.2">
      <c r="A330" s="871" t="s">
        <v>724</v>
      </c>
      <c r="B330" s="108">
        <v>5</v>
      </c>
      <c r="C330" s="137" t="s">
        <v>90</v>
      </c>
      <c r="D330" s="137" t="s">
        <v>90</v>
      </c>
      <c r="E330" s="137" t="s">
        <v>90</v>
      </c>
      <c r="F330" s="285" t="str">
        <f t="shared" si="109"/>
        <v>-</v>
      </c>
      <c r="G330" s="285" t="str">
        <f t="shared" si="110"/>
        <v>-</v>
      </c>
      <c r="P330" s="699" t="s">
        <v>87</v>
      </c>
      <c r="Z330" s="699" t="s">
        <v>87</v>
      </c>
    </row>
    <row r="331" spans="1:26" ht="14.25" x14ac:dyDescent="0.2">
      <c r="A331" s="871" t="s">
        <v>725</v>
      </c>
      <c r="B331" s="108">
        <v>6</v>
      </c>
      <c r="C331" s="137" t="s">
        <v>90</v>
      </c>
      <c r="D331" s="137" t="s">
        <v>90</v>
      </c>
      <c r="E331" s="137" t="s">
        <v>90</v>
      </c>
      <c r="F331" s="285" t="str">
        <f t="shared" si="109"/>
        <v>-</v>
      </c>
      <c r="G331" s="285" t="str">
        <f t="shared" si="110"/>
        <v>-</v>
      </c>
      <c r="P331" s="699" t="s">
        <v>87</v>
      </c>
      <c r="Z331" s="699" t="s">
        <v>87</v>
      </c>
    </row>
    <row r="332" spans="1:26" ht="14.25" x14ac:dyDescent="0.2">
      <c r="A332" s="872" t="s">
        <v>726</v>
      </c>
      <c r="B332" s="119">
        <v>7</v>
      </c>
      <c r="C332" s="139" t="s">
        <v>90</v>
      </c>
      <c r="D332" s="139" t="s">
        <v>90</v>
      </c>
      <c r="E332" s="139" t="s">
        <v>90</v>
      </c>
      <c r="F332" s="153" t="str">
        <f t="shared" si="109"/>
        <v>-</v>
      </c>
      <c r="G332" s="153" t="str">
        <f t="shared" si="110"/>
        <v>-</v>
      </c>
      <c r="P332" s="699" t="s">
        <v>87</v>
      </c>
      <c r="Z332" s="699" t="s">
        <v>87</v>
      </c>
    </row>
    <row r="333" spans="1:26" x14ac:dyDescent="0.2">
      <c r="A333" s="896" t="s">
        <v>1049</v>
      </c>
      <c r="B333" s="897"/>
      <c r="C333" s="897"/>
      <c r="D333" s="897"/>
      <c r="E333" s="897"/>
      <c r="F333" s="897"/>
      <c r="G333" s="897"/>
      <c r="H333" s="897"/>
      <c r="I333" s="897"/>
      <c r="P333" s="699" t="s">
        <v>87</v>
      </c>
      <c r="Z333" s="699" t="s">
        <v>87</v>
      </c>
    </row>
    <row r="334" spans="1:26" ht="69" customHeight="1" x14ac:dyDescent="0.2">
      <c r="A334" s="1464" t="s">
        <v>1050</v>
      </c>
      <c r="B334" s="1464"/>
      <c r="C334" s="1464"/>
      <c r="D334" s="1464"/>
      <c r="E334" s="1464"/>
      <c r="F334" s="1464"/>
      <c r="G334" s="1464"/>
      <c r="H334" s="1464"/>
      <c r="I334" s="1464"/>
      <c r="P334" s="699" t="s">
        <v>87</v>
      </c>
      <c r="Z334" s="699" t="s">
        <v>87</v>
      </c>
    </row>
    <row r="335" spans="1:26" x14ac:dyDescent="0.2">
      <c r="P335" s="699" t="s">
        <v>87</v>
      </c>
      <c r="Z335" s="699" t="s">
        <v>87</v>
      </c>
    </row>
    <row r="336" spans="1:26" ht="14.25" x14ac:dyDescent="0.2">
      <c r="A336" s="707"/>
      <c r="B336" s="764"/>
      <c r="C336" s="331"/>
      <c r="F336" s="328" t="s">
        <v>1017</v>
      </c>
      <c r="G336" s="331"/>
      <c r="P336" s="699" t="s">
        <v>87</v>
      </c>
      <c r="Z336" s="699" t="s">
        <v>87</v>
      </c>
    </row>
    <row r="337" spans="1:26" ht="65.25" x14ac:dyDescent="0.2">
      <c r="A337" s="865" t="s">
        <v>1051</v>
      </c>
      <c r="B337" s="866"/>
      <c r="C337" s="278" t="s">
        <v>1019</v>
      </c>
      <c r="D337" s="278" t="s">
        <v>1052</v>
      </c>
      <c r="E337" s="278" t="s">
        <v>990</v>
      </c>
      <c r="F337" s="278" t="s">
        <v>691</v>
      </c>
      <c r="G337" s="278" t="s">
        <v>690</v>
      </c>
      <c r="P337" s="699" t="s">
        <v>87</v>
      </c>
      <c r="Z337" s="699" t="s">
        <v>87</v>
      </c>
    </row>
    <row r="338" spans="1:26" ht="14.25" x14ac:dyDescent="0.2">
      <c r="A338" s="662"/>
      <c r="B338" s="104">
        <v>90</v>
      </c>
      <c r="C338" s="105">
        <v>1</v>
      </c>
      <c r="D338" s="105">
        <v>2</v>
      </c>
      <c r="E338" s="105">
        <v>3</v>
      </c>
      <c r="F338" s="167" t="s">
        <v>1021</v>
      </c>
      <c r="G338" s="214" t="s">
        <v>1022</v>
      </c>
      <c r="P338" s="699" t="s">
        <v>87</v>
      </c>
      <c r="Z338" s="699" t="s">
        <v>87</v>
      </c>
    </row>
    <row r="339" spans="1:26" ht="14.25" x14ac:dyDescent="0.2">
      <c r="A339" s="867" t="s">
        <v>1023</v>
      </c>
      <c r="B339" s="108">
        <v>1</v>
      </c>
      <c r="C339" s="868"/>
      <c r="D339" s="869"/>
      <c r="E339" s="565" t="str">
        <f>IF(OR(G339&lt;&gt;"-",F339&lt;&gt;"-"),SUM(G339)-SUM(F339),"-")</f>
        <v>-</v>
      </c>
      <c r="F339" s="565" t="str">
        <f>IF(COUNTIF(F340:F345,"-")&lt;COUNTA(F340:F345),SUM(F340:F345),"-")</f>
        <v>-</v>
      </c>
      <c r="G339" s="565" t="str">
        <f>IF(COUNTIF(G340:G345,"-")&lt;COUNTA(G340:G345),SUM(G340:G345),"-")</f>
        <v>-</v>
      </c>
      <c r="P339" s="699" t="s">
        <v>87</v>
      </c>
      <c r="Z339" s="699" t="s">
        <v>87</v>
      </c>
    </row>
    <row r="340" spans="1:26" ht="14.25" x14ac:dyDescent="0.2">
      <c r="A340" s="871" t="s">
        <v>721</v>
      </c>
      <c r="B340" s="108">
        <v>2</v>
      </c>
      <c r="C340" s="149" t="s">
        <v>90</v>
      </c>
      <c r="D340" s="149" t="s">
        <v>90</v>
      </c>
      <c r="E340" s="149" t="s">
        <v>90</v>
      </c>
      <c r="F340" s="282" t="str">
        <f>IF(OR(C340&lt;&gt;"-",D340&lt;&gt;"-",E340&lt;&gt;"-"),MAX(0,SUM(C340)-SUM(D340)-SUM(E340)),"-")</f>
        <v>-</v>
      </c>
      <c r="G340" s="282" t="str">
        <f>IF(OR(C340&lt;&gt;"-",D340&lt;&gt;"-"),MAX(0,SUM(C340)-SUM(D340)),"-")</f>
        <v>-</v>
      </c>
      <c r="P340" s="699" t="s">
        <v>87</v>
      </c>
      <c r="Z340" s="699" t="s">
        <v>87</v>
      </c>
    </row>
    <row r="341" spans="1:26" ht="14.25" x14ac:dyDescent="0.2">
      <c r="A341" s="871" t="s">
        <v>722</v>
      </c>
      <c r="B341" s="108">
        <v>3</v>
      </c>
      <c r="C341" s="137" t="s">
        <v>90</v>
      </c>
      <c r="D341" s="137" t="s">
        <v>90</v>
      </c>
      <c r="E341" s="137" t="s">
        <v>90</v>
      </c>
      <c r="F341" s="285" t="str">
        <f t="shared" ref="F341:F345" si="111">IF(OR(C341&lt;&gt;"-",D341&lt;&gt;"-",E341&lt;&gt;"-"),MAX(0,SUM(C341)-SUM(D341)-SUM(E341)),"-")</f>
        <v>-</v>
      </c>
      <c r="G341" s="285" t="str">
        <f t="shared" ref="G341:G345" si="112">IF(OR(C341&lt;&gt;"-",D341&lt;&gt;"-"),MAX(0,SUM(C341)-SUM(D341)),"-")</f>
        <v>-</v>
      </c>
      <c r="P341" s="699" t="s">
        <v>87</v>
      </c>
      <c r="Z341" s="699" t="s">
        <v>87</v>
      </c>
    </row>
    <row r="342" spans="1:26" ht="14.25" x14ac:dyDescent="0.2">
      <c r="A342" s="871" t="s">
        <v>723</v>
      </c>
      <c r="B342" s="108">
        <v>4</v>
      </c>
      <c r="C342" s="137" t="s">
        <v>90</v>
      </c>
      <c r="D342" s="137" t="s">
        <v>90</v>
      </c>
      <c r="E342" s="137" t="s">
        <v>90</v>
      </c>
      <c r="F342" s="285" t="str">
        <f t="shared" si="111"/>
        <v>-</v>
      </c>
      <c r="G342" s="285" t="str">
        <f t="shared" si="112"/>
        <v>-</v>
      </c>
      <c r="P342" s="699" t="s">
        <v>87</v>
      </c>
      <c r="Z342" s="699" t="s">
        <v>87</v>
      </c>
    </row>
    <row r="343" spans="1:26" ht="14.25" x14ac:dyDescent="0.2">
      <c r="A343" s="871" t="s">
        <v>724</v>
      </c>
      <c r="B343" s="108">
        <v>5</v>
      </c>
      <c r="C343" s="137" t="s">
        <v>90</v>
      </c>
      <c r="D343" s="137" t="s">
        <v>90</v>
      </c>
      <c r="E343" s="137" t="s">
        <v>90</v>
      </c>
      <c r="F343" s="285" t="str">
        <f t="shared" si="111"/>
        <v>-</v>
      </c>
      <c r="G343" s="285" t="str">
        <f t="shared" si="112"/>
        <v>-</v>
      </c>
      <c r="P343" s="699" t="s">
        <v>87</v>
      </c>
      <c r="Z343" s="699" t="s">
        <v>87</v>
      </c>
    </row>
    <row r="344" spans="1:26" ht="14.25" x14ac:dyDescent="0.2">
      <c r="A344" s="871" t="s">
        <v>725</v>
      </c>
      <c r="B344" s="108">
        <v>6</v>
      </c>
      <c r="C344" s="137" t="s">
        <v>90</v>
      </c>
      <c r="D344" s="137" t="s">
        <v>90</v>
      </c>
      <c r="E344" s="137" t="s">
        <v>90</v>
      </c>
      <c r="F344" s="285" t="str">
        <f t="shared" si="111"/>
        <v>-</v>
      </c>
      <c r="G344" s="285" t="str">
        <f t="shared" si="112"/>
        <v>-</v>
      </c>
      <c r="P344" s="699" t="s">
        <v>87</v>
      </c>
      <c r="Z344" s="699" t="s">
        <v>87</v>
      </c>
    </row>
    <row r="345" spans="1:26" ht="14.25" x14ac:dyDescent="0.2">
      <c r="A345" s="872" t="s">
        <v>726</v>
      </c>
      <c r="B345" s="119">
        <v>7</v>
      </c>
      <c r="C345" s="139" t="s">
        <v>90</v>
      </c>
      <c r="D345" s="139" t="s">
        <v>90</v>
      </c>
      <c r="E345" s="139" t="s">
        <v>90</v>
      </c>
      <c r="F345" s="153" t="str">
        <f t="shared" si="111"/>
        <v>-</v>
      </c>
      <c r="G345" s="153" t="str">
        <f t="shared" si="112"/>
        <v>-</v>
      </c>
      <c r="P345" s="699" t="s">
        <v>87</v>
      </c>
      <c r="Z345" s="699" t="s">
        <v>87</v>
      </c>
    </row>
    <row r="346" spans="1:26" x14ac:dyDescent="0.2">
      <c r="A346" s="898" t="s">
        <v>1053</v>
      </c>
      <c r="B346" s="897"/>
      <c r="C346" s="897"/>
      <c r="D346" s="897"/>
      <c r="E346" s="897"/>
      <c r="F346" s="897"/>
      <c r="G346" s="897"/>
      <c r="H346" s="897"/>
      <c r="P346" s="699" t="s">
        <v>87</v>
      </c>
      <c r="Z346" s="699" t="s">
        <v>87</v>
      </c>
    </row>
    <row r="347" spans="1:26" x14ac:dyDescent="0.2">
      <c r="A347" s="899" t="s">
        <v>1054</v>
      </c>
      <c r="B347" s="900"/>
      <c r="C347" s="901"/>
      <c r="D347" s="901"/>
      <c r="E347" s="901"/>
      <c r="F347" s="901"/>
      <c r="G347" s="901"/>
      <c r="H347" s="901"/>
      <c r="P347" s="699" t="s">
        <v>87</v>
      </c>
      <c r="Z347" s="699" t="s">
        <v>87</v>
      </c>
    </row>
    <row r="348" spans="1:26" x14ac:dyDescent="0.2">
      <c r="A348" s="899" t="s">
        <v>1055</v>
      </c>
      <c r="B348" s="902"/>
      <c r="C348" s="901"/>
      <c r="D348" s="901"/>
      <c r="E348" s="901"/>
      <c r="F348" s="901"/>
      <c r="G348" s="901"/>
      <c r="H348" s="901"/>
      <c r="P348" s="699" t="s">
        <v>87</v>
      </c>
      <c r="Z348" s="699" t="s">
        <v>87</v>
      </c>
    </row>
    <row r="349" spans="1:26" x14ac:dyDescent="0.2">
      <c r="A349" s="897"/>
      <c r="B349" s="897"/>
      <c r="C349" s="897"/>
      <c r="D349" s="897"/>
      <c r="E349" s="897"/>
      <c r="F349" s="897"/>
      <c r="G349" s="897"/>
      <c r="H349" s="897"/>
      <c r="P349" s="699" t="s">
        <v>87</v>
      </c>
      <c r="Z349" s="699" t="s">
        <v>87</v>
      </c>
    </row>
    <row r="350" spans="1:26" ht="14.25" x14ac:dyDescent="0.2">
      <c r="A350" s="707"/>
      <c r="B350" s="764"/>
      <c r="C350" s="328" t="s">
        <v>1016</v>
      </c>
      <c r="D350" s="331"/>
      <c r="E350" s="897"/>
      <c r="F350" s="897"/>
      <c r="G350" s="328" t="s">
        <v>1017</v>
      </c>
      <c r="H350" s="331"/>
      <c r="P350" s="699" t="s">
        <v>87</v>
      </c>
      <c r="Z350" s="699" t="s">
        <v>87</v>
      </c>
    </row>
    <row r="351" spans="1:26" ht="63.75" x14ac:dyDescent="0.2">
      <c r="A351" s="809" t="s">
        <v>1056</v>
      </c>
      <c r="B351" s="866"/>
      <c r="C351" s="278" t="s">
        <v>1057</v>
      </c>
      <c r="D351" s="278" t="s">
        <v>1019</v>
      </c>
      <c r="E351" s="278" t="s">
        <v>1058</v>
      </c>
      <c r="F351" s="278" t="s">
        <v>990</v>
      </c>
      <c r="G351" s="278" t="s">
        <v>691</v>
      </c>
      <c r="H351" s="278" t="s">
        <v>690</v>
      </c>
      <c r="P351" s="699" t="s">
        <v>87</v>
      </c>
      <c r="Z351" s="699" t="s">
        <v>87</v>
      </c>
    </row>
    <row r="352" spans="1:26" ht="14.25" x14ac:dyDescent="0.2">
      <c r="A352" s="662"/>
      <c r="B352" s="104">
        <v>91</v>
      </c>
      <c r="C352" s="105">
        <v>1</v>
      </c>
      <c r="D352" s="105">
        <v>2</v>
      </c>
      <c r="E352" s="105">
        <v>3</v>
      </c>
      <c r="F352" s="105">
        <v>4</v>
      </c>
      <c r="G352" s="167" t="s">
        <v>1059</v>
      </c>
      <c r="H352" s="214" t="s">
        <v>1060</v>
      </c>
      <c r="P352" s="699" t="s">
        <v>87</v>
      </c>
      <c r="Z352" s="699" t="s">
        <v>87</v>
      </c>
    </row>
    <row r="353" spans="1:26" ht="14.25" x14ac:dyDescent="0.2">
      <c r="A353" s="903" t="s">
        <v>1023</v>
      </c>
      <c r="B353" s="108">
        <v>1</v>
      </c>
      <c r="C353" s="868"/>
      <c r="D353" s="869"/>
      <c r="E353" s="869"/>
      <c r="F353" s="565" t="str">
        <f>IF(OR(H353&lt;&gt;"-",G353&lt;&gt;"-"),SUM(H353)-SUM(G353),"-")</f>
        <v>-</v>
      </c>
      <c r="G353" s="565" t="str">
        <f>IF(COUNTIF(G354:G359,"-")&lt;COUNTA(G354:G359),SUM(G354:G359),"-")</f>
        <v>-</v>
      </c>
      <c r="H353" s="565" t="str">
        <f>IF(COUNTIF(H354:H359,"-")&lt;COUNTA(H354:H359),SUM(H354:H359),"-")</f>
        <v>-</v>
      </c>
      <c r="P353" s="699" t="s">
        <v>87</v>
      </c>
      <c r="Z353" s="699" t="s">
        <v>87</v>
      </c>
    </row>
    <row r="354" spans="1:26" ht="14.25" x14ac:dyDescent="0.2">
      <c r="A354" s="871" t="s">
        <v>721</v>
      </c>
      <c r="B354" s="108">
        <v>2</v>
      </c>
      <c r="C354" s="149" t="s">
        <v>90</v>
      </c>
      <c r="D354" s="149" t="s">
        <v>90</v>
      </c>
      <c r="E354" s="149" t="s">
        <v>90</v>
      </c>
      <c r="F354" s="149" t="s">
        <v>90</v>
      </c>
      <c r="G354" s="282" t="str">
        <f>IF(OR(D354&lt;&gt;"-",E354&lt;&gt;"-",F354&lt;&gt;"-"),MAX(0,SUM(D354)-SUM(E354)-SUM(F354)),"-")</f>
        <v>-</v>
      </c>
      <c r="H354" s="282" t="str">
        <f>IF(OR(D354&lt;&gt;"-",E354&lt;&gt;"-"),MAX(0,SUM(D354)-SUM(E354)),"-")</f>
        <v>-</v>
      </c>
      <c r="M354" s="719"/>
      <c r="P354" s="699" t="s">
        <v>87</v>
      </c>
      <c r="Z354" s="699" t="s">
        <v>87</v>
      </c>
    </row>
    <row r="355" spans="1:26" ht="14.25" x14ac:dyDescent="0.2">
      <c r="A355" s="871" t="s">
        <v>722</v>
      </c>
      <c r="B355" s="108">
        <v>3</v>
      </c>
      <c r="C355" s="137" t="s">
        <v>90</v>
      </c>
      <c r="D355" s="137" t="s">
        <v>90</v>
      </c>
      <c r="E355" s="137" t="s">
        <v>90</v>
      </c>
      <c r="F355" s="137" t="s">
        <v>90</v>
      </c>
      <c r="G355" s="285" t="str">
        <f t="shared" ref="G355:G359" si="113">IF(OR(D355&lt;&gt;"-",E355&lt;&gt;"-",F355&lt;&gt;"-"),MAX(0,SUM(D355)-SUM(E355)-SUM(F355)),"-")</f>
        <v>-</v>
      </c>
      <c r="H355" s="285" t="str">
        <f t="shared" ref="H355:H359" si="114">IF(OR(D355&lt;&gt;"-",E355&lt;&gt;"-"),MAX(0,SUM(D355)-SUM(E355)),"-")</f>
        <v>-</v>
      </c>
      <c r="P355" s="699" t="s">
        <v>87</v>
      </c>
      <c r="Z355" s="699" t="s">
        <v>87</v>
      </c>
    </row>
    <row r="356" spans="1:26" ht="14.25" x14ac:dyDescent="0.2">
      <c r="A356" s="871" t="s">
        <v>723</v>
      </c>
      <c r="B356" s="108">
        <v>4</v>
      </c>
      <c r="C356" s="137" t="s">
        <v>90</v>
      </c>
      <c r="D356" s="137" t="s">
        <v>90</v>
      </c>
      <c r="E356" s="137" t="s">
        <v>90</v>
      </c>
      <c r="F356" s="137" t="s">
        <v>90</v>
      </c>
      <c r="G356" s="285" t="str">
        <f t="shared" si="113"/>
        <v>-</v>
      </c>
      <c r="H356" s="285" t="str">
        <f t="shared" si="114"/>
        <v>-</v>
      </c>
      <c r="P356" s="699" t="s">
        <v>87</v>
      </c>
      <c r="Z356" s="699" t="s">
        <v>87</v>
      </c>
    </row>
    <row r="357" spans="1:26" ht="14.25" x14ac:dyDescent="0.2">
      <c r="A357" s="871" t="s">
        <v>724</v>
      </c>
      <c r="B357" s="108">
        <v>5</v>
      </c>
      <c r="C357" s="137" t="s">
        <v>90</v>
      </c>
      <c r="D357" s="137" t="s">
        <v>90</v>
      </c>
      <c r="E357" s="137" t="s">
        <v>90</v>
      </c>
      <c r="F357" s="137" t="s">
        <v>90</v>
      </c>
      <c r="G357" s="285" t="str">
        <f t="shared" si="113"/>
        <v>-</v>
      </c>
      <c r="H357" s="285" t="str">
        <f t="shared" si="114"/>
        <v>-</v>
      </c>
      <c r="P357" s="699" t="s">
        <v>87</v>
      </c>
      <c r="Z357" s="699" t="s">
        <v>87</v>
      </c>
    </row>
    <row r="358" spans="1:26" ht="14.25" x14ac:dyDescent="0.2">
      <c r="A358" s="871" t="s">
        <v>725</v>
      </c>
      <c r="B358" s="108">
        <v>6</v>
      </c>
      <c r="C358" s="137" t="s">
        <v>90</v>
      </c>
      <c r="D358" s="137" t="s">
        <v>90</v>
      </c>
      <c r="E358" s="137" t="s">
        <v>90</v>
      </c>
      <c r="F358" s="137" t="s">
        <v>90</v>
      </c>
      <c r="G358" s="285" t="str">
        <f t="shared" si="113"/>
        <v>-</v>
      </c>
      <c r="H358" s="285" t="str">
        <f t="shared" si="114"/>
        <v>-</v>
      </c>
      <c r="P358" s="699" t="s">
        <v>87</v>
      </c>
      <c r="Z358" s="699" t="s">
        <v>87</v>
      </c>
    </row>
    <row r="359" spans="1:26" ht="14.25" x14ac:dyDescent="0.2">
      <c r="A359" s="872" t="s">
        <v>726</v>
      </c>
      <c r="B359" s="119">
        <v>7</v>
      </c>
      <c r="C359" s="139" t="s">
        <v>90</v>
      </c>
      <c r="D359" s="139" t="s">
        <v>90</v>
      </c>
      <c r="E359" s="139" t="s">
        <v>90</v>
      </c>
      <c r="F359" s="139" t="s">
        <v>90</v>
      </c>
      <c r="G359" s="153" t="str">
        <f t="shared" si="113"/>
        <v>-</v>
      </c>
      <c r="H359" s="153" t="str">
        <f t="shared" si="114"/>
        <v>-</v>
      </c>
      <c r="P359" s="699" t="s">
        <v>87</v>
      </c>
      <c r="Z359" s="699" t="s">
        <v>87</v>
      </c>
    </row>
    <row r="360" spans="1:26" x14ac:dyDescent="0.2">
      <c r="C360" s="148"/>
      <c r="D360" s="148"/>
      <c r="E360" s="148"/>
      <c r="F360" s="148"/>
      <c r="G360" s="148"/>
      <c r="I360" s="148"/>
      <c r="J360" s="148"/>
      <c r="P360" s="699" t="s">
        <v>87</v>
      </c>
      <c r="Z360" s="699" t="s">
        <v>87</v>
      </c>
    </row>
    <row r="361" spans="1:26" ht="14.25" x14ac:dyDescent="0.2">
      <c r="A361" s="96" t="s">
        <v>87</v>
      </c>
      <c r="B361" s="96" t="s">
        <v>87</v>
      </c>
      <c r="C361" s="96" t="s">
        <v>87</v>
      </c>
      <c r="D361" s="96" t="s">
        <v>87</v>
      </c>
      <c r="E361" s="96" t="s">
        <v>87</v>
      </c>
      <c r="F361" s="96" t="s">
        <v>87</v>
      </c>
      <c r="G361" s="96" t="s">
        <v>87</v>
      </c>
      <c r="H361" s="96" t="s">
        <v>87</v>
      </c>
      <c r="I361" s="96" t="s">
        <v>87</v>
      </c>
      <c r="J361" s="96" t="s">
        <v>87</v>
      </c>
      <c r="K361" s="96" t="s">
        <v>87</v>
      </c>
      <c r="L361" s="96" t="s">
        <v>87</v>
      </c>
      <c r="M361" s="96" t="s">
        <v>87</v>
      </c>
      <c r="N361" s="96" t="s">
        <v>87</v>
      </c>
      <c r="O361" s="96" t="s">
        <v>87</v>
      </c>
      <c r="P361" s="699" t="s">
        <v>87</v>
      </c>
      <c r="Q361" s="699" t="s">
        <v>87</v>
      </c>
      <c r="R361" s="699" t="s">
        <v>87</v>
      </c>
      <c r="S361" s="699" t="s">
        <v>87</v>
      </c>
      <c r="T361" s="699" t="s">
        <v>87</v>
      </c>
      <c r="U361" s="699" t="s">
        <v>87</v>
      </c>
      <c r="V361" s="699" t="s">
        <v>87</v>
      </c>
      <c r="W361" s="699" t="s">
        <v>87</v>
      </c>
      <c r="X361" s="699" t="s">
        <v>87</v>
      </c>
      <c r="Y361" s="699" t="s">
        <v>87</v>
      </c>
      <c r="Z361" s="699" t="s">
        <v>87</v>
      </c>
    </row>
  </sheetData>
  <mergeCells count="45">
    <mergeCell ref="J105:M108"/>
    <mergeCell ref="H4:H5"/>
    <mergeCell ref="H16:H17"/>
    <mergeCell ref="J61:M61"/>
    <mergeCell ref="J62:M62"/>
    <mergeCell ref="J63:M66"/>
    <mergeCell ref="J67:M70"/>
    <mergeCell ref="J71:M80"/>
    <mergeCell ref="J81:M90"/>
    <mergeCell ref="J91:M100"/>
    <mergeCell ref="J103:M103"/>
    <mergeCell ref="J104:M104"/>
    <mergeCell ref="J187:M187"/>
    <mergeCell ref="J109:M112"/>
    <mergeCell ref="J113:M122"/>
    <mergeCell ref="J123:M132"/>
    <mergeCell ref="J133:M142"/>
    <mergeCell ref="J145:M145"/>
    <mergeCell ref="J146:M146"/>
    <mergeCell ref="J147:M150"/>
    <mergeCell ref="J151:M154"/>
    <mergeCell ref="J155:M164"/>
    <mergeCell ref="J165:M174"/>
    <mergeCell ref="J175:M184"/>
    <mergeCell ref="J249:M258"/>
    <mergeCell ref="J188:M188"/>
    <mergeCell ref="J189:M192"/>
    <mergeCell ref="J193:M196"/>
    <mergeCell ref="J197:M206"/>
    <mergeCell ref="J207:M216"/>
    <mergeCell ref="J217:M226"/>
    <mergeCell ref="J229:M229"/>
    <mergeCell ref="J230:M230"/>
    <mergeCell ref="J231:M234"/>
    <mergeCell ref="J235:M238"/>
    <mergeCell ref="J239:M248"/>
    <mergeCell ref="J291:M300"/>
    <mergeCell ref="J301:M310"/>
    <mergeCell ref="A334:I334"/>
    <mergeCell ref="J259:M268"/>
    <mergeCell ref="J271:M271"/>
    <mergeCell ref="J272:M272"/>
    <mergeCell ref="J273:M276"/>
    <mergeCell ref="J277:M280"/>
    <mergeCell ref="J281:M290"/>
  </mergeCells>
  <pageMargins left="0.25" right="0.25" top="0.75" bottom="0.75" header="0.3" footer="0.3"/>
  <pageSetup paperSize="9" orientation="landscape" r:id="rId1"/>
  <headerFooter>
    <oddFooter>&amp;A&amp;RPage &amp;P</oddFooter>
  </headerFooter>
  <rowBreaks count="1" manualBreakCount="1">
    <brk id="2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tabColor rgb="FFFFFF00"/>
  </sheetPr>
  <dimension ref="A1:Y20"/>
  <sheetViews>
    <sheetView showGridLines="0" zoomScaleNormal="100" workbookViewId="0">
      <selection activeCell="A9" sqref="A9"/>
    </sheetView>
  </sheetViews>
  <sheetFormatPr defaultRowHeight="12.75" x14ac:dyDescent="0.2"/>
  <cols>
    <col min="1" max="1" width="30.7109375" customWidth="1"/>
    <col min="2" max="2" width="3.28515625" customWidth="1"/>
    <col min="3" max="3" width="9.42578125" customWidth="1"/>
    <col min="4" max="4" width="8.7109375" customWidth="1"/>
    <col min="5" max="5" width="13.7109375" customWidth="1"/>
    <col min="6" max="6" width="6" customWidth="1"/>
    <col min="7" max="7" width="8.7109375" customWidth="1"/>
    <col min="8" max="8" width="5.7109375" customWidth="1"/>
    <col min="9" max="9" width="0.85546875" customWidth="1"/>
    <col min="10" max="10" width="2" customWidth="1"/>
    <col min="11" max="11" width="3.85546875" customWidth="1"/>
    <col min="12" max="12" width="17.28515625" customWidth="1"/>
    <col min="13" max="13" width="8.85546875" customWidth="1"/>
    <col min="14" max="14" width="9.5703125" customWidth="1"/>
    <col min="15" max="15" width="2.42578125" customWidth="1"/>
    <col min="16" max="18" width="8.7109375" customWidth="1"/>
    <col min="19" max="23" width="9.140625" customWidth="1"/>
    <col min="24" max="24" width="3" customWidth="1"/>
    <col min="25" max="25" width="2" customWidth="1"/>
  </cols>
  <sheetData>
    <row r="1" spans="1:25" x14ac:dyDescent="0.2">
      <c r="A1" s="93" t="str">
        <f>FT15.Participant!$A$1</f>
        <v>&lt;IAIG's Name&gt;</v>
      </c>
      <c r="B1" s="94"/>
      <c r="C1" s="94"/>
      <c r="D1" s="94"/>
      <c r="E1" s="94"/>
      <c r="F1" s="94"/>
      <c r="G1" s="94"/>
      <c r="H1" s="95" t="str">
        <f ca="1">HYPERLINK("#"&amp;CELL("address",FT15.IndexSheet),Version)</f>
        <v>2015 IAIS Field Testing Template</v>
      </c>
      <c r="J1" s="699" t="s">
        <v>87</v>
      </c>
      <c r="Y1" s="699" t="s">
        <v>87</v>
      </c>
    </row>
    <row r="2" spans="1:25" ht="15" x14ac:dyDescent="0.25">
      <c r="A2" s="97" t="str">
        <f>FT15.Participant!$A$2</f>
        <v>&lt;Currency&gt; - (&lt;Unit&gt;)</v>
      </c>
      <c r="B2" s="98" t="s">
        <v>42</v>
      </c>
      <c r="C2" s="99"/>
      <c r="D2" s="99"/>
      <c r="E2" s="99"/>
      <c r="F2" s="99"/>
      <c r="G2" s="99"/>
      <c r="H2" s="100" t="str">
        <f>FT15.Participant!$E$2</f>
        <v xml:space="preserve">&lt;Reporting Date&gt; - </v>
      </c>
      <c r="J2" s="699" t="s">
        <v>87</v>
      </c>
      <c r="Y2" s="699" t="s">
        <v>87</v>
      </c>
    </row>
    <row r="3" spans="1:25" x14ac:dyDescent="0.2">
      <c r="J3" s="699" t="s">
        <v>87</v>
      </c>
      <c r="Y3" s="699" t="s">
        <v>87</v>
      </c>
    </row>
    <row r="4" spans="1:25" x14ac:dyDescent="0.2">
      <c r="J4" s="699" t="s">
        <v>87</v>
      </c>
      <c r="Y4" s="699" t="s">
        <v>87</v>
      </c>
    </row>
    <row r="5" spans="1:25" x14ac:dyDescent="0.2">
      <c r="J5" s="699" t="s">
        <v>87</v>
      </c>
      <c r="Y5" s="699" t="s">
        <v>87</v>
      </c>
    </row>
    <row r="6" spans="1:25" x14ac:dyDescent="0.2">
      <c r="J6" s="699" t="s">
        <v>87</v>
      </c>
      <c r="Y6" s="699" t="s">
        <v>87</v>
      </c>
    </row>
    <row r="7" spans="1:25" ht="14.25" customHeight="1" x14ac:dyDescent="0.2">
      <c r="J7" s="699" t="s">
        <v>87</v>
      </c>
      <c r="Y7" s="699" t="s">
        <v>87</v>
      </c>
    </row>
    <row r="8" spans="1:25" ht="14.25" customHeight="1" x14ac:dyDescent="0.2">
      <c r="J8" s="699" t="s">
        <v>87</v>
      </c>
      <c r="Y8" s="699" t="s">
        <v>87</v>
      </c>
    </row>
    <row r="9" spans="1:25" ht="51" x14ac:dyDescent="0.25">
      <c r="A9" s="653" t="s">
        <v>1061</v>
      </c>
      <c r="B9" s="708"/>
      <c r="C9" s="278" t="s">
        <v>690</v>
      </c>
      <c r="D9" s="278" t="s">
        <v>691</v>
      </c>
      <c r="E9" s="904" t="s">
        <v>1062</v>
      </c>
      <c r="J9" s="699" t="s">
        <v>87</v>
      </c>
      <c r="L9" s="857" t="s">
        <v>1006</v>
      </c>
      <c r="M9" s="655" t="s">
        <v>1063</v>
      </c>
      <c r="N9" s="655" t="s">
        <v>1064</v>
      </c>
      <c r="O9" s="714" t="s">
        <v>1065</v>
      </c>
      <c r="P9" s="714"/>
      <c r="Q9" s="715"/>
      <c r="R9" s="715"/>
      <c r="S9" s="715"/>
      <c r="T9" s="715"/>
      <c r="U9" s="715"/>
      <c r="V9" s="718"/>
      <c r="Y9" s="699" t="s">
        <v>87</v>
      </c>
    </row>
    <row r="10" spans="1:25" ht="14.25" x14ac:dyDescent="0.2">
      <c r="A10" s="720"/>
      <c r="B10" s="104">
        <v>92</v>
      </c>
      <c r="C10" s="105">
        <v>1</v>
      </c>
      <c r="D10" s="105">
        <v>2</v>
      </c>
      <c r="E10" s="106">
        <v>3</v>
      </c>
      <c r="J10" s="699" t="s">
        <v>87</v>
      </c>
      <c r="L10" s="858" t="s">
        <v>1008</v>
      </c>
      <c r="M10" s="905" t="s">
        <v>1066</v>
      </c>
      <c r="N10" s="906"/>
      <c r="O10" s="326" t="s">
        <v>90</v>
      </c>
      <c r="P10" s="724" t="s">
        <v>1067</v>
      </c>
      <c r="Q10" s="725" t="s">
        <v>1068</v>
      </c>
      <c r="R10" s="725" t="s">
        <v>1069</v>
      </c>
      <c r="S10" s="725" t="s">
        <v>117</v>
      </c>
      <c r="T10" s="725" t="s">
        <v>1070</v>
      </c>
      <c r="U10" s="725" t="s">
        <v>1071</v>
      </c>
      <c r="V10" s="726" t="s">
        <v>1072</v>
      </c>
      <c r="Y10" s="699" t="s">
        <v>87</v>
      </c>
    </row>
    <row r="11" spans="1:25" x14ac:dyDescent="0.2">
      <c r="A11" s="907" t="s">
        <v>1073</v>
      </c>
      <c r="B11" s="234">
        <v>1</v>
      </c>
      <c r="C11" s="219">
        <f>M11</f>
        <v>0</v>
      </c>
      <c r="D11" s="219">
        <f>N11</f>
        <v>0</v>
      </c>
      <c r="E11" s="742"/>
      <c r="F11" s="908" t="s">
        <v>695</v>
      </c>
      <c r="J11" s="699" t="s">
        <v>87</v>
      </c>
      <c r="L11" s="666" t="s">
        <v>1074</v>
      </c>
      <c r="M11" s="909">
        <f>SQRT(SUMPRODUCT(-M12:M18,MMULT(--ICS.Market.Corr,-M12:M18)))</f>
        <v>0</v>
      </c>
      <c r="N11" s="909">
        <f>SQRT(SUMPRODUCT(-N12:N18,MMULT(--ICS.Market.Corr,-N12:N18)))</f>
        <v>0</v>
      </c>
      <c r="O11" s="675"/>
      <c r="P11" s="676">
        <v>1</v>
      </c>
      <c r="Q11" s="676">
        <v>2</v>
      </c>
      <c r="R11" s="676">
        <v>3</v>
      </c>
      <c r="S11" s="676">
        <v>4</v>
      </c>
      <c r="T11" s="676">
        <v>5</v>
      </c>
      <c r="U11" s="676">
        <v>6</v>
      </c>
      <c r="V11" s="677">
        <v>7</v>
      </c>
      <c r="Y11" s="699" t="s">
        <v>87</v>
      </c>
    </row>
    <row r="12" spans="1:25" ht="14.25" x14ac:dyDescent="0.2">
      <c r="A12" s="644" t="s">
        <v>1075</v>
      </c>
      <c r="B12" s="234">
        <v>2</v>
      </c>
      <c r="C12" s="281">
        <f>SUM('ICS.Market.Interest rate'!C6)</f>
        <v>0</v>
      </c>
      <c r="D12" s="281">
        <f>SUM('ICS.Market.Interest rate'!D6)</f>
        <v>0</v>
      </c>
      <c r="E12" s="910" t="str">
        <f>'ICS.Market.Interest rate'!E6</f>
        <v>-</v>
      </c>
      <c r="F12" s="911" t="str">
        <f ca="1">HYPERLINK("#"&amp;CELL("address",'ICS.Market.Interest rate'!$A$4),"+")</f>
        <v>+</v>
      </c>
      <c r="J12" s="699" t="s">
        <v>87</v>
      </c>
      <c r="L12" s="861" t="s">
        <v>1067</v>
      </c>
      <c r="M12" s="912">
        <f t="shared" ref="M12:N14" si="0">IF($E$12=$W12,C$12,0)</f>
        <v>0</v>
      </c>
      <c r="N12" s="912">
        <f t="shared" si="0"/>
        <v>0</v>
      </c>
      <c r="O12" s="681">
        <v>1</v>
      </c>
      <c r="P12" s="682">
        <v>1</v>
      </c>
      <c r="Q12" s="913">
        <v>0</v>
      </c>
      <c r="R12" s="913">
        <v>0</v>
      </c>
      <c r="S12" s="683">
        <v>0.25</v>
      </c>
      <c r="T12" s="683">
        <v>0</v>
      </c>
      <c r="U12" s="683">
        <v>0.25</v>
      </c>
      <c r="V12" s="684">
        <v>0</v>
      </c>
      <c r="W12" s="914" t="s">
        <v>1076</v>
      </c>
      <c r="Y12" s="699" t="s">
        <v>87</v>
      </c>
    </row>
    <row r="13" spans="1:25" ht="14.25" x14ac:dyDescent="0.2">
      <c r="A13" s="644" t="s">
        <v>117</v>
      </c>
      <c r="B13" s="234">
        <v>3</v>
      </c>
      <c r="C13" s="284">
        <f>SUM(ICS.Market.Equity!$C$7)</f>
        <v>0</v>
      </c>
      <c r="D13" s="284">
        <f>SUM(ICS.Market.Equity!$C$6)</f>
        <v>0</v>
      </c>
      <c r="E13" s="915" t="str">
        <f>ICS.Market.Equity!$C$8</f>
        <v>-</v>
      </c>
      <c r="F13" s="916" t="str">
        <f ca="1">HYPERLINK("#"&amp;CELL("address",ICS.Market.Equity!$A$4),"+")</f>
        <v>+</v>
      </c>
      <c r="J13" s="699" t="s">
        <v>87</v>
      </c>
      <c r="L13" s="861" t="s">
        <v>1068</v>
      </c>
      <c r="M13" s="912">
        <f t="shared" si="0"/>
        <v>0</v>
      </c>
      <c r="N13" s="912">
        <f t="shared" si="0"/>
        <v>0</v>
      </c>
      <c r="O13" s="681">
        <v>2</v>
      </c>
      <c r="P13" s="686">
        <f t="shared" ref="P13:P18" si="1">INDEX($P$12:$V$18,P$11,$O13)</f>
        <v>0</v>
      </c>
      <c r="Q13" s="687">
        <v>1</v>
      </c>
      <c r="R13" s="687">
        <v>0</v>
      </c>
      <c r="S13" s="688">
        <v>0.5</v>
      </c>
      <c r="T13" s="688">
        <v>0.25</v>
      </c>
      <c r="U13" s="688">
        <v>0.25</v>
      </c>
      <c r="V13" s="689">
        <v>0</v>
      </c>
      <c r="W13" s="917" t="s">
        <v>1077</v>
      </c>
      <c r="Y13" s="699" t="s">
        <v>87</v>
      </c>
    </row>
    <row r="14" spans="1:25" ht="14.25" x14ac:dyDescent="0.2">
      <c r="A14" s="644" t="s">
        <v>1070</v>
      </c>
      <c r="B14" s="234">
        <v>4</v>
      </c>
      <c r="C14" s="257">
        <f>SUM('ICS.Market.Real estate'!D9)</f>
        <v>0</v>
      </c>
      <c r="D14" s="284">
        <f>SUM('ICS.Market.Real estate'!E9)</f>
        <v>0</v>
      </c>
      <c r="E14" s="111"/>
      <c r="F14" s="916" t="str">
        <f ca="1">HYPERLINK("#"&amp;CELL("address",'ICS.Market.Real estate'!$A$7),"+")</f>
        <v>+</v>
      </c>
      <c r="J14" s="699" t="s">
        <v>87</v>
      </c>
      <c r="L14" s="861" t="s">
        <v>1069</v>
      </c>
      <c r="M14" s="912">
        <f t="shared" si="0"/>
        <v>0</v>
      </c>
      <c r="N14" s="912">
        <f t="shared" si="0"/>
        <v>0</v>
      </c>
      <c r="O14" s="681">
        <v>3</v>
      </c>
      <c r="P14" s="686">
        <f t="shared" si="1"/>
        <v>0</v>
      </c>
      <c r="Q14" s="687">
        <f>INDEX($P$12:$V$18,Q$11,$O14)</f>
        <v>0</v>
      </c>
      <c r="R14" s="687">
        <v>1</v>
      </c>
      <c r="S14" s="688">
        <v>0.25</v>
      </c>
      <c r="T14" s="688">
        <v>0.25</v>
      </c>
      <c r="U14" s="688">
        <v>0.25</v>
      </c>
      <c r="V14" s="689">
        <v>0</v>
      </c>
      <c r="W14" s="918" t="s">
        <v>1078</v>
      </c>
      <c r="Y14" s="699" t="s">
        <v>87</v>
      </c>
    </row>
    <row r="15" spans="1:25" ht="14.25" x14ac:dyDescent="0.2">
      <c r="A15" s="644" t="s">
        <v>1071</v>
      </c>
      <c r="B15" s="234">
        <v>5</v>
      </c>
      <c r="C15" s="284">
        <f>SUM(ICS.Market.Currency!C7)</f>
        <v>0</v>
      </c>
      <c r="D15" s="284">
        <f>SUM(ICS.Market.Currency!D7)</f>
        <v>0</v>
      </c>
      <c r="E15" s="915" t="str">
        <f>ICS.Market.Currency!E7</f>
        <v>-</v>
      </c>
      <c r="F15" s="916" t="str">
        <f ca="1">HYPERLINK("#"&amp;CELL("address",'ICS.Market.Interest rate'!$A$4),"+")</f>
        <v>+</v>
      </c>
      <c r="J15" s="699" t="s">
        <v>87</v>
      </c>
      <c r="L15" s="861" t="s">
        <v>117</v>
      </c>
      <c r="M15" s="912">
        <f t="shared" ref="M15:N17" si="2">C13</f>
        <v>0</v>
      </c>
      <c r="N15" s="912">
        <f t="shared" si="2"/>
        <v>0</v>
      </c>
      <c r="O15" s="681">
        <v>4</v>
      </c>
      <c r="P15" s="686">
        <f t="shared" si="1"/>
        <v>0.25</v>
      </c>
      <c r="Q15" s="687">
        <f>INDEX($P$12:$V$18,Q$11,$O15)</f>
        <v>0.5</v>
      </c>
      <c r="R15" s="687">
        <f>INDEX($P$12:$V$18,R$11,$O15)</f>
        <v>0.25</v>
      </c>
      <c r="S15" s="687">
        <v>1</v>
      </c>
      <c r="T15" s="688">
        <v>0.5</v>
      </c>
      <c r="U15" s="688">
        <v>0.25</v>
      </c>
      <c r="V15" s="689">
        <v>0</v>
      </c>
      <c r="Y15" s="699" t="s">
        <v>87</v>
      </c>
    </row>
    <row r="16" spans="1:25" ht="14.25" x14ac:dyDescent="0.2">
      <c r="A16" s="647" t="s">
        <v>1072</v>
      </c>
      <c r="B16" s="261">
        <v>6</v>
      </c>
      <c r="C16" s="1468">
        <f>SUM('ICS.Market.Asset concentration'!D7)</f>
        <v>0</v>
      </c>
      <c r="D16" s="1469"/>
      <c r="E16" s="151"/>
      <c r="F16" s="919" t="str">
        <f ca="1">HYPERLINK("#"&amp;CELL("address",'ICS.Market.Asset concentration'!$A$6),"+")</f>
        <v>+</v>
      </c>
      <c r="J16" s="699" t="s">
        <v>87</v>
      </c>
      <c r="L16" s="862" t="s">
        <v>1070</v>
      </c>
      <c r="M16" s="912">
        <f t="shared" si="2"/>
        <v>0</v>
      </c>
      <c r="N16" s="912">
        <f t="shared" si="2"/>
        <v>0</v>
      </c>
      <c r="O16" s="681">
        <v>5</v>
      </c>
      <c r="P16" s="686">
        <f t="shared" si="1"/>
        <v>0</v>
      </c>
      <c r="Q16" s="687">
        <f>INDEX($P$12:$V$18,Q$11,$O16)</f>
        <v>0.25</v>
      </c>
      <c r="R16" s="687">
        <f>INDEX($P$12:$V$18,R$11,$O16)</f>
        <v>0.25</v>
      </c>
      <c r="S16" s="687">
        <f>INDEX($P$12:$V$18,S$11,$O16)</f>
        <v>0.5</v>
      </c>
      <c r="T16" s="687">
        <v>1</v>
      </c>
      <c r="U16" s="688">
        <v>0.25</v>
      </c>
      <c r="V16" s="689">
        <v>0</v>
      </c>
      <c r="Y16" s="699" t="s">
        <v>87</v>
      </c>
    </row>
    <row r="17" spans="1:25" x14ac:dyDescent="0.2">
      <c r="J17" s="699" t="s">
        <v>87</v>
      </c>
      <c r="L17" s="862" t="s">
        <v>1071</v>
      </c>
      <c r="M17" s="912">
        <f t="shared" si="2"/>
        <v>0</v>
      </c>
      <c r="N17" s="912">
        <f t="shared" si="2"/>
        <v>0</v>
      </c>
      <c r="O17" s="681">
        <v>6</v>
      </c>
      <c r="P17" s="686">
        <f t="shared" si="1"/>
        <v>0.25</v>
      </c>
      <c r="Q17" s="687">
        <f>INDEX($P$12:$V$18,Q$11,$O17)</f>
        <v>0.25</v>
      </c>
      <c r="R17" s="687">
        <f>INDEX($P$12:$V$18,R$11,$O17)</f>
        <v>0.25</v>
      </c>
      <c r="S17" s="687">
        <f>INDEX($P$12:$V$18,S$11,$O17)</f>
        <v>0.25</v>
      </c>
      <c r="T17" s="687">
        <f>INDEX($P$12:$V$18,T$11,$O17)</f>
        <v>0.25</v>
      </c>
      <c r="U17" s="687">
        <v>1</v>
      </c>
      <c r="V17" s="689">
        <v>0</v>
      </c>
      <c r="Y17" s="699" t="s">
        <v>87</v>
      </c>
    </row>
    <row r="18" spans="1:25" x14ac:dyDescent="0.2">
      <c r="J18" s="699" t="s">
        <v>87</v>
      </c>
      <c r="L18" s="863" t="s">
        <v>1072</v>
      </c>
      <c r="M18" s="920">
        <f>C16</f>
        <v>0</v>
      </c>
      <c r="N18" s="920">
        <f>C16</f>
        <v>0</v>
      </c>
      <c r="O18" s="693">
        <v>7</v>
      </c>
      <c r="P18" s="694">
        <f t="shared" si="1"/>
        <v>0</v>
      </c>
      <c r="Q18" s="695">
        <f>INDEX($P$12:$V$18,Q$11,$O18)</f>
        <v>0</v>
      </c>
      <c r="R18" s="695">
        <f>INDEX($P$12:$V$18,R$11,$O18)</f>
        <v>0</v>
      </c>
      <c r="S18" s="695">
        <f>INDEX($P$12:$V$18,S$11,$O18)</f>
        <v>0</v>
      </c>
      <c r="T18" s="695">
        <f>INDEX($P$12:$V$18,T$11,$O18)</f>
        <v>0</v>
      </c>
      <c r="U18" s="695">
        <f>INDEX($P$12:$V$18,U$11,$O18)</f>
        <v>0</v>
      </c>
      <c r="V18" s="696">
        <v>1</v>
      </c>
      <c r="Y18" s="699" t="s">
        <v>87</v>
      </c>
    </row>
    <row r="19" spans="1:25" x14ac:dyDescent="0.2">
      <c r="C19" s="148"/>
      <c r="D19" s="148"/>
      <c r="J19" s="699" t="s">
        <v>87</v>
      </c>
      <c r="Y19" s="699" t="s">
        <v>87</v>
      </c>
    </row>
    <row r="20" spans="1:25" ht="14.25" x14ac:dyDescent="0.2">
      <c r="A20" s="96" t="s">
        <v>87</v>
      </c>
      <c r="B20" s="96" t="s">
        <v>87</v>
      </c>
      <c r="C20" s="96" t="s">
        <v>87</v>
      </c>
      <c r="D20" s="96" t="s">
        <v>87</v>
      </c>
      <c r="E20" s="96" t="s">
        <v>87</v>
      </c>
      <c r="F20" s="96" t="s">
        <v>87</v>
      </c>
      <c r="G20" s="96" t="s">
        <v>87</v>
      </c>
      <c r="H20" s="96" t="s">
        <v>87</v>
      </c>
      <c r="I20" s="96" t="s">
        <v>87</v>
      </c>
      <c r="J20" s="699" t="s">
        <v>87</v>
      </c>
      <c r="K20" s="699" t="s">
        <v>87</v>
      </c>
      <c r="L20" s="699" t="s">
        <v>87</v>
      </c>
      <c r="M20" s="699" t="s">
        <v>87</v>
      </c>
      <c r="N20" s="699" t="s">
        <v>87</v>
      </c>
      <c r="O20" s="699" t="s">
        <v>87</v>
      </c>
      <c r="P20" s="699" t="s">
        <v>87</v>
      </c>
      <c r="Q20" s="699" t="s">
        <v>87</v>
      </c>
      <c r="R20" s="699" t="s">
        <v>87</v>
      </c>
      <c r="S20" s="699" t="s">
        <v>87</v>
      </c>
      <c r="T20" s="699" t="s">
        <v>87</v>
      </c>
      <c r="U20" s="699" t="s">
        <v>87</v>
      </c>
      <c r="V20" s="699" t="s">
        <v>87</v>
      </c>
      <c r="W20" s="699" t="s">
        <v>87</v>
      </c>
      <c r="X20" s="699" t="s">
        <v>87</v>
      </c>
      <c r="Y20" s="699" t="s">
        <v>87</v>
      </c>
    </row>
  </sheetData>
  <mergeCells count="1">
    <mergeCell ref="C16:D16"/>
  </mergeCells>
  <pageMargins left="0.70866141732283472" right="0.70866141732283472" top="0.74803149606299213" bottom="0.74803149606299213" header="0.31496062992125984" footer="0.31496062992125984"/>
  <pageSetup paperSize="9" orientation="landscape" r:id="rId1"/>
  <headerFooter>
    <oddFooter>&amp;A&amp;RPage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sheetPr>
  <dimension ref="A1:V49"/>
  <sheetViews>
    <sheetView zoomScaleNormal="100" zoomScalePageLayoutView="70" workbookViewId="0">
      <selection activeCell="A4" sqref="A4"/>
    </sheetView>
  </sheetViews>
  <sheetFormatPr defaultRowHeight="12.75" x14ac:dyDescent="0.2"/>
  <cols>
    <col min="1" max="1" width="54" customWidth="1"/>
    <col min="2" max="2" width="3.28515625" customWidth="1"/>
    <col min="3" max="8" width="9.7109375" customWidth="1"/>
    <col min="9" max="9" width="10.85546875" customWidth="1"/>
    <col min="10" max="10" width="9.7109375" customWidth="1"/>
    <col min="11" max="11" width="0.85546875" customWidth="1"/>
    <col min="12" max="12" width="2" customWidth="1"/>
    <col min="249" max="249" width="12.42578125" customWidth="1"/>
    <col min="250" max="250" width="83" customWidth="1"/>
    <col min="251" max="253" width="14" customWidth="1"/>
    <col min="254" max="254" width="12.28515625" bestFit="1" customWidth="1"/>
    <col min="255" max="255" width="14" customWidth="1"/>
    <col min="256" max="256" width="15.5703125" bestFit="1" customWidth="1"/>
    <col min="257" max="261" width="14" customWidth="1"/>
    <col min="262" max="262" width="15.5703125" bestFit="1" customWidth="1"/>
    <col min="263" max="263" width="13.5703125" customWidth="1"/>
    <col min="264" max="264" width="13.42578125" customWidth="1"/>
    <col min="265" max="265" width="5.28515625" customWidth="1"/>
    <col min="505" max="505" width="12.42578125" customWidth="1"/>
    <col min="506" max="506" width="83" customWidth="1"/>
    <col min="507" max="509" width="14" customWidth="1"/>
    <col min="510" max="510" width="12.28515625" bestFit="1" customWidth="1"/>
    <col min="511" max="511" width="14" customWidth="1"/>
    <col min="512" max="512" width="15.5703125" bestFit="1" customWidth="1"/>
    <col min="513" max="517" width="14" customWidth="1"/>
    <col min="518" max="518" width="15.5703125" bestFit="1" customWidth="1"/>
    <col min="519" max="519" width="13.5703125" customWidth="1"/>
    <col min="520" max="520" width="13.42578125" customWidth="1"/>
    <col min="521" max="521" width="5.28515625" customWidth="1"/>
    <col min="761" max="761" width="12.42578125" customWidth="1"/>
    <col min="762" max="762" width="83" customWidth="1"/>
    <col min="763" max="765" width="14" customWidth="1"/>
    <col min="766" max="766" width="12.28515625" bestFit="1" customWidth="1"/>
    <col min="767" max="767" width="14" customWidth="1"/>
    <col min="768" max="768" width="15.5703125" bestFit="1" customWidth="1"/>
    <col min="769" max="773" width="14" customWidth="1"/>
    <col min="774" max="774" width="15.5703125" bestFit="1" customWidth="1"/>
    <col min="775" max="775" width="13.5703125" customWidth="1"/>
    <col min="776" max="776" width="13.42578125" customWidth="1"/>
    <col min="777" max="777" width="5.28515625" customWidth="1"/>
    <col min="1017" max="1017" width="12.42578125" customWidth="1"/>
    <col min="1018" max="1018" width="83" customWidth="1"/>
    <col min="1019" max="1021" width="14" customWidth="1"/>
    <col min="1022" max="1022" width="12.28515625" bestFit="1" customWidth="1"/>
    <col min="1023" max="1023" width="14" customWidth="1"/>
    <col min="1024" max="1024" width="15.5703125" bestFit="1" customWidth="1"/>
    <col min="1025" max="1029" width="14" customWidth="1"/>
    <col min="1030" max="1030" width="15.5703125" bestFit="1" customWidth="1"/>
    <col min="1031" max="1031" width="13.5703125" customWidth="1"/>
    <col min="1032" max="1032" width="13.42578125" customWidth="1"/>
    <col min="1033" max="1033" width="5.28515625" customWidth="1"/>
    <col min="1273" max="1273" width="12.42578125" customWidth="1"/>
    <col min="1274" max="1274" width="83" customWidth="1"/>
    <col min="1275" max="1277" width="14" customWidth="1"/>
    <col min="1278" max="1278" width="12.28515625" bestFit="1" customWidth="1"/>
    <col min="1279" max="1279" width="14" customWidth="1"/>
    <col min="1280" max="1280" width="15.5703125" bestFit="1" customWidth="1"/>
    <col min="1281" max="1285" width="14" customWidth="1"/>
    <col min="1286" max="1286" width="15.5703125" bestFit="1" customWidth="1"/>
    <col min="1287" max="1287" width="13.5703125" customWidth="1"/>
    <col min="1288" max="1288" width="13.42578125" customWidth="1"/>
    <col min="1289" max="1289" width="5.28515625" customWidth="1"/>
    <col min="1529" max="1529" width="12.42578125" customWidth="1"/>
    <col min="1530" max="1530" width="83" customWidth="1"/>
    <col min="1531" max="1533" width="14" customWidth="1"/>
    <col min="1534" max="1534" width="12.28515625" bestFit="1" customWidth="1"/>
    <col min="1535" max="1535" width="14" customWidth="1"/>
    <col min="1536" max="1536" width="15.5703125" bestFit="1" customWidth="1"/>
    <col min="1537" max="1541" width="14" customWidth="1"/>
    <col min="1542" max="1542" width="15.5703125" bestFit="1" customWidth="1"/>
    <col min="1543" max="1543" width="13.5703125" customWidth="1"/>
    <col min="1544" max="1544" width="13.42578125" customWidth="1"/>
    <col min="1545" max="1545" width="5.28515625" customWidth="1"/>
    <col min="1785" max="1785" width="12.42578125" customWidth="1"/>
    <col min="1786" max="1786" width="83" customWidth="1"/>
    <col min="1787" max="1789" width="14" customWidth="1"/>
    <col min="1790" max="1790" width="12.28515625" bestFit="1" customWidth="1"/>
    <col min="1791" max="1791" width="14" customWidth="1"/>
    <col min="1792" max="1792" width="15.5703125" bestFit="1" customWidth="1"/>
    <col min="1793" max="1797" width="14" customWidth="1"/>
    <col min="1798" max="1798" width="15.5703125" bestFit="1" customWidth="1"/>
    <col min="1799" max="1799" width="13.5703125" customWidth="1"/>
    <col min="1800" max="1800" width="13.42578125" customWidth="1"/>
    <col min="1801" max="1801" width="5.28515625" customWidth="1"/>
    <col min="2041" max="2041" width="12.42578125" customWidth="1"/>
    <col min="2042" max="2042" width="83" customWidth="1"/>
    <col min="2043" max="2045" width="14" customWidth="1"/>
    <col min="2046" max="2046" width="12.28515625" bestFit="1" customWidth="1"/>
    <col min="2047" max="2047" width="14" customWidth="1"/>
    <col min="2048" max="2048" width="15.5703125" bestFit="1" customWidth="1"/>
    <col min="2049" max="2053" width="14" customWidth="1"/>
    <col min="2054" max="2054" width="15.5703125" bestFit="1" customWidth="1"/>
    <col min="2055" max="2055" width="13.5703125" customWidth="1"/>
    <col min="2056" max="2056" width="13.42578125" customWidth="1"/>
    <col min="2057" max="2057" width="5.28515625" customWidth="1"/>
    <col min="2297" max="2297" width="12.42578125" customWidth="1"/>
    <col min="2298" max="2298" width="83" customWidth="1"/>
    <col min="2299" max="2301" width="14" customWidth="1"/>
    <col min="2302" max="2302" width="12.28515625" bestFit="1" customWidth="1"/>
    <col min="2303" max="2303" width="14" customWidth="1"/>
    <col min="2304" max="2304" width="15.5703125" bestFit="1" customWidth="1"/>
    <col min="2305" max="2309" width="14" customWidth="1"/>
    <col min="2310" max="2310" width="15.5703125" bestFit="1" customWidth="1"/>
    <col min="2311" max="2311" width="13.5703125" customWidth="1"/>
    <col min="2312" max="2312" width="13.42578125" customWidth="1"/>
    <col min="2313" max="2313" width="5.28515625" customWidth="1"/>
    <col min="2553" max="2553" width="12.42578125" customWidth="1"/>
    <col min="2554" max="2554" width="83" customWidth="1"/>
    <col min="2555" max="2557" width="14" customWidth="1"/>
    <col min="2558" max="2558" width="12.28515625" bestFit="1" customWidth="1"/>
    <col min="2559" max="2559" width="14" customWidth="1"/>
    <col min="2560" max="2560" width="15.5703125" bestFit="1" customWidth="1"/>
    <col min="2561" max="2565" width="14" customWidth="1"/>
    <col min="2566" max="2566" width="15.5703125" bestFit="1" customWidth="1"/>
    <col min="2567" max="2567" width="13.5703125" customWidth="1"/>
    <col min="2568" max="2568" width="13.42578125" customWidth="1"/>
    <col min="2569" max="2569" width="5.28515625" customWidth="1"/>
    <col min="2809" max="2809" width="12.42578125" customWidth="1"/>
    <col min="2810" max="2810" width="83" customWidth="1"/>
    <col min="2811" max="2813" width="14" customWidth="1"/>
    <col min="2814" max="2814" width="12.28515625" bestFit="1" customWidth="1"/>
    <col min="2815" max="2815" width="14" customWidth="1"/>
    <col min="2816" max="2816" width="15.5703125" bestFit="1" customWidth="1"/>
    <col min="2817" max="2821" width="14" customWidth="1"/>
    <col min="2822" max="2822" width="15.5703125" bestFit="1" customWidth="1"/>
    <col min="2823" max="2823" width="13.5703125" customWidth="1"/>
    <col min="2824" max="2824" width="13.42578125" customWidth="1"/>
    <col min="2825" max="2825" width="5.28515625" customWidth="1"/>
    <col min="3065" max="3065" width="12.42578125" customWidth="1"/>
    <col min="3066" max="3066" width="83" customWidth="1"/>
    <col min="3067" max="3069" width="14" customWidth="1"/>
    <col min="3070" max="3070" width="12.28515625" bestFit="1" customWidth="1"/>
    <col min="3071" max="3071" width="14" customWidth="1"/>
    <col min="3072" max="3072" width="15.5703125" bestFit="1" customWidth="1"/>
    <col min="3073" max="3077" width="14" customWidth="1"/>
    <col min="3078" max="3078" width="15.5703125" bestFit="1" customWidth="1"/>
    <col min="3079" max="3079" width="13.5703125" customWidth="1"/>
    <col min="3080" max="3080" width="13.42578125" customWidth="1"/>
    <col min="3081" max="3081" width="5.28515625" customWidth="1"/>
    <col min="3321" max="3321" width="12.42578125" customWidth="1"/>
    <col min="3322" max="3322" width="83" customWidth="1"/>
    <col min="3323" max="3325" width="14" customWidth="1"/>
    <col min="3326" max="3326" width="12.28515625" bestFit="1" customWidth="1"/>
    <col min="3327" max="3327" width="14" customWidth="1"/>
    <col min="3328" max="3328" width="15.5703125" bestFit="1" customWidth="1"/>
    <col min="3329" max="3333" width="14" customWidth="1"/>
    <col min="3334" max="3334" width="15.5703125" bestFit="1" customWidth="1"/>
    <col min="3335" max="3335" width="13.5703125" customWidth="1"/>
    <col min="3336" max="3336" width="13.42578125" customWidth="1"/>
    <col min="3337" max="3337" width="5.28515625" customWidth="1"/>
    <col min="3577" max="3577" width="12.42578125" customWidth="1"/>
    <col min="3578" max="3578" width="83" customWidth="1"/>
    <col min="3579" max="3581" width="14" customWidth="1"/>
    <col min="3582" max="3582" width="12.28515625" bestFit="1" customWidth="1"/>
    <col min="3583" max="3583" width="14" customWidth="1"/>
    <col min="3584" max="3584" width="15.5703125" bestFit="1" customWidth="1"/>
    <col min="3585" max="3589" width="14" customWidth="1"/>
    <col min="3590" max="3590" width="15.5703125" bestFit="1" customWidth="1"/>
    <col min="3591" max="3591" width="13.5703125" customWidth="1"/>
    <col min="3592" max="3592" width="13.42578125" customWidth="1"/>
    <col min="3593" max="3593" width="5.28515625" customWidth="1"/>
    <col min="3833" max="3833" width="12.42578125" customWidth="1"/>
    <col min="3834" max="3834" width="83" customWidth="1"/>
    <col min="3835" max="3837" width="14" customWidth="1"/>
    <col min="3838" max="3838" width="12.28515625" bestFit="1" customWidth="1"/>
    <col min="3839" max="3839" width="14" customWidth="1"/>
    <col min="3840" max="3840" width="15.5703125" bestFit="1" customWidth="1"/>
    <col min="3841" max="3845" width="14" customWidth="1"/>
    <col min="3846" max="3846" width="15.5703125" bestFit="1" customWidth="1"/>
    <col min="3847" max="3847" width="13.5703125" customWidth="1"/>
    <col min="3848" max="3848" width="13.42578125" customWidth="1"/>
    <col min="3849" max="3849" width="5.28515625" customWidth="1"/>
    <col min="4089" max="4089" width="12.42578125" customWidth="1"/>
    <col min="4090" max="4090" width="83" customWidth="1"/>
    <col min="4091" max="4093" width="14" customWidth="1"/>
    <col min="4094" max="4094" width="12.28515625" bestFit="1" customWidth="1"/>
    <col min="4095" max="4095" width="14" customWidth="1"/>
    <col min="4096" max="4096" width="15.5703125" bestFit="1" customWidth="1"/>
    <col min="4097" max="4101" width="14" customWidth="1"/>
    <col min="4102" max="4102" width="15.5703125" bestFit="1" customWidth="1"/>
    <col min="4103" max="4103" width="13.5703125" customWidth="1"/>
    <col min="4104" max="4104" width="13.42578125" customWidth="1"/>
    <col min="4105" max="4105" width="5.28515625" customWidth="1"/>
    <col min="4345" max="4345" width="12.42578125" customWidth="1"/>
    <col min="4346" max="4346" width="83" customWidth="1"/>
    <col min="4347" max="4349" width="14" customWidth="1"/>
    <col min="4350" max="4350" width="12.28515625" bestFit="1" customWidth="1"/>
    <col min="4351" max="4351" width="14" customWidth="1"/>
    <col min="4352" max="4352" width="15.5703125" bestFit="1" customWidth="1"/>
    <col min="4353" max="4357" width="14" customWidth="1"/>
    <col min="4358" max="4358" width="15.5703125" bestFit="1" customWidth="1"/>
    <col min="4359" max="4359" width="13.5703125" customWidth="1"/>
    <col min="4360" max="4360" width="13.42578125" customWidth="1"/>
    <col min="4361" max="4361" width="5.28515625" customWidth="1"/>
    <col min="4601" max="4601" width="12.42578125" customWidth="1"/>
    <col min="4602" max="4602" width="83" customWidth="1"/>
    <col min="4603" max="4605" width="14" customWidth="1"/>
    <col min="4606" max="4606" width="12.28515625" bestFit="1" customWidth="1"/>
    <col min="4607" max="4607" width="14" customWidth="1"/>
    <col min="4608" max="4608" width="15.5703125" bestFit="1" customWidth="1"/>
    <col min="4609" max="4613" width="14" customWidth="1"/>
    <col min="4614" max="4614" width="15.5703125" bestFit="1" customWidth="1"/>
    <col min="4615" max="4615" width="13.5703125" customWidth="1"/>
    <col min="4616" max="4616" width="13.42578125" customWidth="1"/>
    <col min="4617" max="4617" width="5.28515625" customWidth="1"/>
    <col min="4857" max="4857" width="12.42578125" customWidth="1"/>
    <col min="4858" max="4858" width="83" customWidth="1"/>
    <col min="4859" max="4861" width="14" customWidth="1"/>
    <col min="4862" max="4862" width="12.28515625" bestFit="1" customWidth="1"/>
    <col min="4863" max="4863" width="14" customWidth="1"/>
    <col min="4864" max="4864" width="15.5703125" bestFit="1" customWidth="1"/>
    <col min="4865" max="4869" width="14" customWidth="1"/>
    <col min="4870" max="4870" width="15.5703125" bestFit="1" customWidth="1"/>
    <col min="4871" max="4871" width="13.5703125" customWidth="1"/>
    <col min="4872" max="4872" width="13.42578125" customWidth="1"/>
    <col min="4873" max="4873" width="5.28515625" customWidth="1"/>
    <col min="5113" max="5113" width="12.42578125" customWidth="1"/>
    <col min="5114" max="5114" width="83" customWidth="1"/>
    <col min="5115" max="5117" width="14" customWidth="1"/>
    <col min="5118" max="5118" width="12.28515625" bestFit="1" customWidth="1"/>
    <col min="5119" max="5119" width="14" customWidth="1"/>
    <col min="5120" max="5120" width="15.5703125" bestFit="1" customWidth="1"/>
    <col min="5121" max="5125" width="14" customWidth="1"/>
    <col min="5126" max="5126" width="15.5703125" bestFit="1" customWidth="1"/>
    <col min="5127" max="5127" width="13.5703125" customWidth="1"/>
    <col min="5128" max="5128" width="13.42578125" customWidth="1"/>
    <col min="5129" max="5129" width="5.28515625" customWidth="1"/>
    <col min="5369" max="5369" width="12.42578125" customWidth="1"/>
    <col min="5370" max="5370" width="83" customWidth="1"/>
    <col min="5371" max="5373" width="14" customWidth="1"/>
    <col min="5374" max="5374" width="12.28515625" bestFit="1" customWidth="1"/>
    <col min="5375" max="5375" width="14" customWidth="1"/>
    <col min="5376" max="5376" width="15.5703125" bestFit="1" customWidth="1"/>
    <col min="5377" max="5381" width="14" customWidth="1"/>
    <col min="5382" max="5382" width="15.5703125" bestFit="1" customWidth="1"/>
    <col min="5383" max="5383" width="13.5703125" customWidth="1"/>
    <col min="5384" max="5384" width="13.42578125" customWidth="1"/>
    <col min="5385" max="5385" width="5.28515625" customWidth="1"/>
    <col min="5625" max="5625" width="12.42578125" customWidth="1"/>
    <col min="5626" max="5626" width="83" customWidth="1"/>
    <col min="5627" max="5629" width="14" customWidth="1"/>
    <col min="5630" max="5630" width="12.28515625" bestFit="1" customWidth="1"/>
    <col min="5631" max="5631" width="14" customWidth="1"/>
    <col min="5632" max="5632" width="15.5703125" bestFit="1" customWidth="1"/>
    <col min="5633" max="5637" width="14" customWidth="1"/>
    <col min="5638" max="5638" width="15.5703125" bestFit="1" customWidth="1"/>
    <col min="5639" max="5639" width="13.5703125" customWidth="1"/>
    <col min="5640" max="5640" width="13.42578125" customWidth="1"/>
    <col min="5641" max="5641" width="5.28515625" customWidth="1"/>
    <col min="5881" max="5881" width="12.42578125" customWidth="1"/>
    <col min="5882" max="5882" width="83" customWidth="1"/>
    <col min="5883" max="5885" width="14" customWidth="1"/>
    <col min="5886" max="5886" width="12.28515625" bestFit="1" customWidth="1"/>
    <col min="5887" max="5887" width="14" customWidth="1"/>
    <col min="5888" max="5888" width="15.5703125" bestFit="1" customWidth="1"/>
    <col min="5889" max="5893" width="14" customWidth="1"/>
    <col min="5894" max="5894" width="15.5703125" bestFit="1" customWidth="1"/>
    <col min="5895" max="5895" width="13.5703125" customWidth="1"/>
    <col min="5896" max="5896" width="13.42578125" customWidth="1"/>
    <col min="5897" max="5897" width="5.28515625" customWidth="1"/>
    <col min="6137" max="6137" width="12.42578125" customWidth="1"/>
    <col min="6138" max="6138" width="83" customWidth="1"/>
    <col min="6139" max="6141" width="14" customWidth="1"/>
    <col min="6142" max="6142" width="12.28515625" bestFit="1" customWidth="1"/>
    <col min="6143" max="6143" width="14" customWidth="1"/>
    <col min="6144" max="6144" width="15.5703125" bestFit="1" customWidth="1"/>
    <col min="6145" max="6149" width="14" customWidth="1"/>
    <col min="6150" max="6150" width="15.5703125" bestFit="1" customWidth="1"/>
    <col min="6151" max="6151" width="13.5703125" customWidth="1"/>
    <col min="6152" max="6152" width="13.42578125" customWidth="1"/>
    <col min="6153" max="6153" width="5.28515625" customWidth="1"/>
    <col min="6393" max="6393" width="12.42578125" customWidth="1"/>
    <col min="6394" max="6394" width="83" customWidth="1"/>
    <col min="6395" max="6397" width="14" customWidth="1"/>
    <col min="6398" max="6398" width="12.28515625" bestFit="1" customWidth="1"/>
    <col min="6399" max="6399" width="14" customWidth="1"/>
    <col min="6400" max="6400" width="15.5703125" bestFit="1" customWidth="1"/>
    <col min="6401" max="6405" width="14" customWidth="1"/>
    <col min="6406" max="6406" width="15.5703125" bestFit="1" customWidth="1"/>
    <col min="6407" max="6407" width="13.5703125" customWidth="1"/>
    <col min="6408" max="6408" width="13.42578125" customWidth="1"/>
    <col min="6409" max="6409" width="5.28515625" customWidth="1"/>
    <col min="6649" max="6649" width="12.42578125" customWidth="1"/>
    <col min="6650" max="6650" width="83" customWidth="1"/>
    <col min="6651" max="6653" width="14" customWidth="1"/>
    <col min="6654" max="6654" width="12.28515625" bestFit="1" customWidth="1"/>
    <col min="6655" max="6655" width="14" customWidth="1"/>
    <col min="6656" max="6656" width="15.5703125" bestFit="1" customWidth="1"/>
    <col min="6657" max="6661" width="14" customWidth="1"/>
    <col min="6662" max="6662" width="15.5703125" bestFit="1" customWidth="1"/>
    <col min="6663" max="6663" width="13.5703125" customWidth="1"/>
    <col min="6664" max="6664" width="13.42578125" customWidth="1"/>
    <col min="6665" max="6665" width="5.28515625" customWidth="1"/>
    <col min="6905" max="6905" width="12.42578125" customWidth="1"/>
    <col min="6906" max="6906" width="83" customWidth="1"/>
    <col min="6907" max="6909" width="14" customWidth="1"/>
    <col min="6910" max="6910" width="12.28515625" bestFit="1" customWidth="1"/>
    <col min="6911" max="6911" width="14" customWidth="1"/>
    <col min="6912" max="6912" width="15.5703125" bestFit="1" customWidth="1"/>
    <col min="6913" max="6917" width="14" customWidth="1"/>
    <col min="6918" max="6918" width="15.5703125" bestFit="1" customWidth="1"/>
    <col min="6919" max="6919" width="13.5703125" customWidth="1"/>
    <col min="6920" max="6920" width="13.42578125" customWidth="1"/>
    <col min="6921" max="6921" width="5.28515625" customWidth="1"/>
    <col min="7161" max="7161" width="12.42578125" customWidth="1"/>
    <col min="7162" max="7162" width="83" customWidth="1"/>
    <col min="7163" max="7165" width="14" customWidth="1"/>
    <col min="7166" max="7166" width="12.28515625" bestFit="1" customWidth="1"/>
    <col min="7167" max="7167" width="14" customWidth="1"/>
    <col min="7168" max="7168" width="15.5703125" bestFit="1" customWidth="1"/>
    <col min="7169" max="7173" width="14" customWidth="1"/>
    <col min="7174" max="7174" width="15.5703125" bestFit="1" customWidth="1"/>
    <col min="7175" max="7175" width="13.5703125" customWidth="1"/>
    <col min="7176" max="7176" width="13.42578125" customWidth="1"/>
    <col min="7177" max="7177" width="5.28515625" customWidth="1"/>
    <col min="7417" max="7417" width="12.42578125" customWidth="1"/>
    <col min="7418" max="7418" width="83" customWidth="1"/>
    <col min="7419" max="7421" width="14" customWidth="1"/>
    <col min="7422" max="7422" width="12.28515625" bestFit="1" customWidth="1"/>
    <col min="7423" max="7423" width="14" customWidth="1"/>
    <col min="7424" max="7424" width="15.5703125" bestFit="1" customWidth="1"/>
    <col min="7425" max="7429" width="14" customWidth="1"/>
    <col min="7430" max="7430" width="15.5703125" bestFit="1" customWidth="1"/>
    <col min="7431" max="7431" width="13.5703125" customWidth="1"/>
    <col min="7432" max="7432" width="13.42578125" customWidth="1"/>
    <col min="7433" max="7433" width="5.28515625" customWidth="1"/>
    <col min="7673" max="7673" width="12.42578125" customWidth="1"/>
    <col min="7674" max="7674" width="83" customWidth="1"/>
    <col min="7675" max="7677" width="14" customWidth="1"/>
    <col min="7678" max="7678" width="12.28515625" bestFit="1" customWidth="1"/>
    <col min="7679" max="7679" width="14" customWidth="1"/>
    <col min="7680" max="7680" width="15.5703125" bestFit="1" customWidth="1"/>
    <col min="7681" max="7685" width="14" customWidth="1"/>
    <col min="7686" max="7686" width="15.5703125" bestFit="1" customWidth="1"/>
    <col min="7687" max="7687" width="13.5703125" customWidth="1"/>
    <col min="7688" max="7688" width="13.42578125" customWidth="1"/>
    <col min="7689" max="7689" width="5.28515625" customWidth="1"/>
    <col min="7929" max="7929" width="12.42578125" customWidth="1"/>
    <col min="7930" max="7930" width="83" customWidth="1"/>
    <col min="7931" max="7933" width="14" customWidth="1"/>
    <col min="7934" max="7934" width="12.28515625" bestFit="1" customWidth="1"/>
    <col min="7935" max="7935" width="14" customWidth="1"/>
    <col min="7936" max="7936" width="15.5703125" bestFit="1" customWidth="1"/>
    <col min="7937" max="7941" width="14" customWidth="1"/>
    <col min="7942" max="7942" width="15.5703125" bestFit="1" customWidth="1"/>
    <col min="7943" max="7943" width="13.5703125" customWidth="1"/>
    <col min="7944" max="7944" width="13.42578125" customWidth="1"/>
    <col min="7945" max="7945" width="5.28515625" customWidth="1"/>
    <col min="8185" max="8185" width="12.42578125" customWidth="1"/>
    <col min="8186" max="8186" width="83" customWidth="1"/>
    <col min="8187" max="8189" width="14" customWidth="1"/>
    <col min="8190" max="8190" width="12.28515625" bestFit="1" customWidth="1"/>
    <col min="8191" max="8191" width="14" customWidth="1"/>
    <col min="8192" max="8192" width="15.5703125" bestFit="1" customWidth="1"/>
    <col min="8193" max="8197" width="14" customWidth="1"/>
    <col min="8198" max="8198" width="15.5703125" bestFit="1" customWidth="1"/>
    <col min="8199" max="8199" width="13.5703125" customWidth="1"/>
    <col min="8200" max="8200" width="13.42578125" customWidth="1"/>
    <col min="8201" max="8201" width="5.28515625" customWidth="1"/>
    <col min="8441" max="8441" width="12.42578125" customWidth="1"/>
    <col min="8442" max="8442" width="83" customWidth="1"/>
    <col min="8443" max="8445" width="14" customWidth="1"/>
    <col min="8446" max="8446" width="12.28515625" bestFit="1" customWidth="1"/>
    <col min="8447" max="8447" width="14" customWidth="1"/>
    <col min="8448" max="8448" width="15.5703125" bestFit="1" customWidth="1"/>
    <col min="8449" max="8453" width="14" customWidth="1"/>
    <col min="8454" max="8454" width="15.5703125" bestFit="1" customWidth="1"/>
    <col min="8455" max="8455" width="13.5703125" customWidth="1"/>
    <col min="8456" max="8456" width="13.42578125" customWidth="1"/>
    <col min="8457" max="8457" width="5.28515625" customWidth="1"/>
    <col min="8697" max="8697" width="12.42578125" customWidth="1"/>
    <col min="8698" max="8698" width="83" customWidth="1"/>
    <col min="8699" max="8701" width="14" customWidth="1"/>
    <col min="8702" max="8702" width="12.28515625" bestFit="1" customWidth="1"/>
    <col min="8703" max="8703" width="14" customWidth="1"/>
    <col min="8704" max="8704" width="15.5703125" bestFit="1" customWidth="1"/>
    <col min="8705" max="8709" width="14" customWidth="1"/>
    <col min="8710" max="8710" width="15.5703125" bestFit="1" customWidth="1"/>
    <col min="8711" max="8711" width="13.5703125" customWidth="1"/>
    <col min="8712" max="8712" width="13.42578125" customWidth="1"/>
    <col min="8713" max="8713" width="5.28515625" customWidth="1"/>
    <col min="8953" max="8953" width="12.42578125" customWidth="1"/>
    <col min="8954" max="8954" width="83" customWidth="1"/>
    <col min="8955" max="8957" width="14" customWidth="1"/>
    <col min="8958" max="8958" width="12.28515625" bestFit="1" customWidth="1"/>
    <col min="8959" max="8959" width="14" customWidth="1"/>
    <col min="8960" max="8960" width="15.5703125" bestFit="1" customWidth="1"/>
    <col min="8961" max="8965" width="14" customWidth="1"/>
    <col min="8966" max="8966" width="15.5703125" bestFit="1" customWidth="1"/>
    <col min="8967" max="8967" width="13.5703125" customWidth="1"/>
    <col min="8968" max="8968" width="13.42578125" customWidth="1"/>
    <col min="8969" max="8969" width="5.28515625" customWidth="1"/>
    <col min="9209" max="9209" width="12.42578125" customWidth="1"/>
    <col min="9210" max="9210" width="83" customWidth="1"/>
    <col min="9211" max="9213" width="14" customWidth="1"/>
    <col min="9214" max="9214" width="12.28515625" bestFit="1" customWidth="1"/>
    <col min="9215" max="9215" width="14" customWidth="1"/>
    <col min="9216" max="9216" width="15.5703125" bestFit="1" customWidth="1"/>
    <col min="9217" max="9221" width="14" customWidth="1"/>
    <col min="9222" max="9222" width="15.5703125" bestFit="1" customWidth="1"/>
    <col min="9223" max="9223" width="13.5703125" customWidth="1"/>
    <col min="9224" max="9224" width="13.42578125" customWidth="1"/>
    <col min="9225" max="9225" width="5.28515625" customWidth="1"/>
    <col min="9465" max="9465" width="12.42578125" customWidth="1"/>
    <col min="9466" max="9466" width="83" customWidth="1"/>
    <col min="9467" max="9469" width="14" customWidth="1"/>
    <col min="9470" max="9470" width="12.28515625" bestFit="1" customWidth="1"/>
    <col min="9471" max="9471" width="14" customWidth="1"/>
    <col min="9472" max="9472" width="15.5703125" bestFit="1" customWidth="1"/>
    <col min="9473" max="9477" width="14" customWidth="1"/>
    <col min="9478" max="9478" width="15.5703125" bestFit="1" customWidth="1"/>
    <col min="9479" max="9479" width="13.5703125" customWidth="1"/>
    <col min="9480" max="9480" width="13.42578125" customWidth="1"/>
    <col min="9481" max="9481" width="5.28515625" customWidth="1"/>
    <col min="9721" max="9721" width="12.42578125" customWidth="1"/>
    <col min="9722" max="9722" width="83" customWidth="1"/>
    <col min="9723" max="9725" width="14" customWidth="1"/>
    <col min="9726" max="9726" width="12.28515625" bestFit="1" customWidth="1"/>
    <col min="9727" max="9727" width="14" customWidth="1"/>
    <col min="9728" max="9728" width="15.5703125" bestFit="1" customWidth="1"/>
    <col min="9729" max="9733" width="14" customWidth="1"/>
    <col min="9734" max="9734" width="15.5703125" bestFit="1" customWidth="1"/>
    <col min="9735" max="9735" width="13.5703125" customWidth="1"/>
    <col min="9736" max="9736" width="13.42578125" customWidth="1"/>
    <col min="9737" max="9737" width="5.28515625" customWidth="1"/>
    <col min="9977" max="9977" width="12.42578125" customWidth="1"/>
    <col min="9978" max="9978" width="83" customWidth="1"/>
    <col min="9979" max="9981" width="14" customWidth="1"/>
    <col min="9982" max="9982" width="12.28515625" bestFit="1" customWidth="1"/>
    <col min="9983" max="9983" width="14" customWidth="1"/>
    <col min="9984" max="9984" width="15.5703125" bestFit="1" customWidth="1"/>
    <col min="9985" max="9989" width="14" customWidth="1"/>
    <col min="9990" max="9990" width="15.5703125" bestFit="1" customWidth="1"/>
    <col min="9991" max="9991" width="13.5703125" customWidth="1"/>
    <col min="9992" max="9992" width="13.42578125" customWidth="1"/>
    <col min="9993" max="9993" width="5.28515625" customWidth="1"/>
    <col min="10233" max="10233" width="12.42578125" customWidth="1"/>
    <col min="10234" max="10234" width="83" customWidth="1"/>
    <col min="10235" max="10237" width="14" customWidth="1"/>
    <col min="10238" max="10238" width="12.28515625" bestFit="1" customWidth="1"/>
    <col min="10239" max="10239" width="14" customWidth="1"/>
    <col min="10240" max="10240" width="15.5703125" bestFit="1" customWidth="1"/>
    <col min="10241" max="10245" width="14" customWidth="1"/>
    <col min="10246" max="10246" width="15.5703125" bestFit="1" customWidth="1"/>
    <col min="10247" max="10247" width="13.5703125" customWidth="1"/>
    <col min="10248" max="10248" width="13.42578125" customWidth="1"/>
    <col min="10249" max="10249" width="5.28515625" customWidth="1"/>
    <col min="10489" max="10489" width="12.42578125" customWidth="1"/>
    <col min="10490" max="10490" width="83" customWidth="1"/>
    <col min="10491" max="10493" width="14" customWidth="1"/>
    <col min="10494" max="10494" width="12.28515625" bestFit="1" customWidth="1"/>
    <col min="10495" max="10495" width="14" customWidth="1"/>
    <col min="10496" max="10496" width="15.5703125" bestFit="1" customWidth="1"/>
    <col min="10497" max="10501" width="14" customWidth="1"/>
    <col min="10502" max="10502" width="15.5703125" bestFit="1" customWidth="1"/>
    <col min="10503" max="10503" width="13.5703125" customWidth="1"/>
    <col min="10504" max="10504" width="13.42578125" customWidth="1"/>
    <col min="10505" max="10505" width="5.28515625" customWidth="1"/>
    <col min="10745" max="10745" width="12.42578125" customWidth="1"/>
    <col min="10746" max="10746" width="83" customWidth="1"/>
    <col min="10747" max="10749" width="14" customWidth="1"/>
    <col min="10750" max="10750" width="12.28515625" bestFit="1" customWidth="1"/>
    <col min="10751" max="10751" width="14" customWidth="1"/>
    <col min="10752" max="10752" width="15.5703125" bestFit="1" customWidth="1"/>
    <col min="10753" max="10757" width="14" customWidth="1"/>
    <col min="10758" max="10758" width="15.5703125" bestFit="1" customWidth="1"/>
    <col min="10759" max="10759" width="13.5703125" customWidth="1"/>
    <col min="10760" max="10760" width="13.42578125" customWidth="1"/>
    <col min="10761" max="10761" width="5.28515625" customWidth="1"/>
    <col min="11001" max="11001" width="12.42578125" customWidth="1"/>
    <col min="11002" max="11002" width="83" customWidth="1"/>
    <col min="11003" max="11005" width="14" customWidth="1"/>
    <col min="11006" max="11006" width="12.28515625" bestFit="1" customWidth="1"/>
    <col min="11007" max="11007" width="14" customWidth="1"/>
    <col min="11008" max="11008" width="15.5703125" bestFit="1" customWidth="1"/>
    <col min="11009" max="11013" width="14" customWidth="1"/>
    <col min="11014" max="11014" width="15.5703125" bestFit="1" customWidth="1"/>
    <col min="11015" max="11015" width="13.5703125" customWidth="1"/>
    <col min="11016" max="11016" width="13.42578125" customWidth="1"/>
    <col min="11017" max="11017" width="5.28515625" customWidth="1"/>
    <col min="11257" max="11257" width="12.42578125" customWidth="1"/>
    <col min="11258" max="11258" width="83" customWidth="1"/>
    <col min="11259" max="11261" width="14" customWidth="1"/>
    <col min="11262" max="11262" width="12.28515625" bestFit="1" customWidth="1"/>
    <col min="11263" max="11263" width="14" customWidth="1"/>
    <col min="11264" max="11264" width="15.5703125" bestFit="1" customWidth="1"/>
    <col min="11265" max="11269" width="14" customWidth="1"/>
    <col min="11270" max="11270" width="15.5703125" bestFit="1" customWidth="1"/>
    <col min="11271" max="11271" width="13.5703125" customWidth="1"/>
    <col min="11272" max="11272" width="13.42578125" customWidth="1"/>
    <col min="11273" max="11273" width="5.28515625" customWidth="1"/>
    <col min="11513" max="11513" width="12.42578125" customWidth="1"/>
    <col min="11514" max="11514" width="83" customWidth="1"/>
    <col min="11515" max="11517" width="14" customWidth="1"/>
    <col min="11518" max="11518" width="12.28515625" bestFit="1" customWidth="1"/>
    <col min="11519" max="11519" width="14" customWidth="1"/>
    <col min="11520" max="11520" width="15.5703125" bestFit="1" customWidth="1"/>
    <col min="11521" max="11525" width="14" customWidth="1"/>
    <col min="11526" max="11526" width="15.5703125" bestFit="1" customWidth="1"/>
    <col min="11527" max="11527" width="13.5703125" customWidth="1"/>
    <col min="11528" max="11528" width="13.42578125" customWidth="1"/>
    <col min="11529" max="11529" width="5.28515625" customWidth="1"/>
    <col min="11769" max="11769" width="12.42578125" customWidth="1"/>
    <col min="11770" max="11770" width="83" customWidth="1"/>
    <col min="11771" max="11773" width="14" customWidth="1"/>
    <col min="11774" max="11774" width="12.28515625" bestFit="1" customWidth="1"/>
    <col min="11775" max="11775" width="14" customWidth="1"/>
    <col min="11776" max="11776" width="15.5703125" bestFit="1" customWidth="1"/>
    <col min="11777" max="11781" width="14" customWidth="1"/>
    <col min="11782" max="11782" width="15.5703125" bestFit="1" customWidth="1"/>
    <col min="11783" max="11783" width="13.5703125" customWidth="1"/>
    <col min="11784" max="11784" width="13.42578125" customWidth="1"/>
    <col min="11785" max="11785" width="5.28515625" customWidth="1"/>
    <col min="12025" max="12025" width="12.42578125" customWidth="1"/>
    <col min="12026" max="12026" width="83" customWidth="1"/>
    <col min="12027" max="12029" width="14" customWidth="1"/>
    <col min="12030" max="12030" width="12.28515625" bestFit="1" customWidth="1"/>
    <col min="12031" max="12031" width="14" customWidth="1"/>
    <col min="12032" max="12032" width="15.5703125" bestFit="1" customWidth="1"/>
    <col min="12033" max="12037" width="14" customWidth="1"/>
    <col min="12038" max="12038" width="15.5703125" bestFit="1" customWidth="1"/>
    <col min="12039" max="12039" width="13.5703125" customWidth="1"/>
    <col min="12040" max="12040" width="13.42578125" customWidth="1"/>
    <col min="12041" max="12041" width="5.28515625" customWidth="1"/>
    <col min="12281" max="12281" width="12.42578125" customWidth="1"/>
    <col min="12282" max="12282" width="83" customWidth="1"/>
    <col min="12283" max="12285" width="14" customWidth="1"/>
    <col min="12286" max="12286" width="12.28515625" bestFit="1" customWidth="1"/>
    <col min="12287" max="12287" width="14" customWidth="1"/>
    <col min="12288" max="12288" width="15.5703125" bestFit="1" customWidth="1"/>
    <col min="12289" max="12293" width="14" customWidth="1"/>
    <col min="12294" max="12294" width="15.5703125" bestFit="1" customWidth="1"/>
    <col min="12295" max="12295" width="13.5703125" customWidth="1"/>
    <col min="12296" max="12296" width="13.42578125" customWidth="1"/>
    <col min="12297" max="12297" width="5.28515625" customWidth="1"/>
    <col min="12537" max="12537" width="12.42578125" customWidth="1"/>
    <col min="12538" max="12538" width="83" customWidth="1"/>
    <col min="12539" max="12541" width="14" customWidth="1"/>
    <col min="12542" max="12542" width="12.28515625" bestFit="1" customWidth="1"/>
    <col min="12543" max="12543" width="14" customWidth="1"/>
    <col min="12544" max="12544" width="15.5703125" bestFit="1" customWidth="1"/>
    <col min="12545" max="12549" width="14" customWidth="1"/>
    <col min="12550" max="12550" width="15.5703125" bestFit="1" customWidth="1"/>
    <col min="12551" max="12551" width="13.5703125" customWidth="1"/>
    <col min="12552" max="12552" width="13.42578125" customWidth="1"/>
    <col min="12553" max="12553" width="5.28515625" customWidth="1"/>
    <col min="12793" max="12793" width="12.42578125" customWidth="1"/>
    <col min="12794" max="12794" width="83" customWidth="1"/>
    <col min="12795" max="12797" width="14" customWidth="1"/>
    <col min="12798" max="12798" width="12.28515625" bestFit="1" customWidth="1"/>
    <col min="12799" max="12799" width="14" customWidth="1"/>
    <col min="12800" max="12800" width="15.5703125" bestFit="1" customWidth="1"/>
    <col min="12801" max="12805" width="14" customWidth="1"/>
    <col min="12806" max="12806" width="15.5703125" bestFit="1" customWidth="1"/>
    <col min="12807" max="12807" width="13.5703125" customWidth="1"/>
    <col min="12808" max="12808" width="13.42578125" customWidth="1"/>
    <col min="12809" max="12809" width="5.28515625" customWidth="1"/>
    <col min="13049" max="13049" width="12.42578125" customWidth="1"/>
    <col min="13050" max="13050" width="83" customWidth="1"/>
    <col min="13051" max="13053" width="14" customWidth="1"/>
    <col min="13054" max="13054" width="12.28515625" bestFit="1" customWidth="1"/>
    <col min="13055" max="13055" width="14" customWidth="1"/>
    <col min="13056" max="13056" width="15.5703125" bestFit="1" customWidth="1"/>
    <col min="13057" max="13061" width="14" customWidth="1"/>
    <col min="13062" max="13062" width="15.5703125" bestFit="1" customWidth="1"/>
    <col min="13063" max="13063" width="13.5703125" customWidth="1"/>
    <col min="13064" max="13064" width="13.42578125" customWidth="1"/>
    <col min="13065" max="13065" width="5.28515625" customWidth="1"/>
    <col min="13305" max="13305" width="12.42578125" customWidth="1"/>
    <col min="13306" max="13306" width="83" customWidth="1"/>
    <col min="13307" max="13309" width="14" customWidth="1"/>
    <col min="13310" max="13310" width="12.28515625" bestFit="1" customWidth="1"/>
    <col min="13311" max="13311" width="14" customWidth="1"/>
    <col min="13312" max="13312" width="15.5703125" bestFit="1" customWidth="1"/>
    <col min="13313" max="13317" width="14" customWidth="1"/>
    <col min="13318" max="13318" width="15.5703125" bestFit="1" customWidth="1"/>
    <col min="13319" max="13319" width="13.5703125" customWidth="1"/>
    <col min="13320" max="13320" width="13.42578125" customWidth="1"/>
    <col min="13321" max="13321" width="5.28515625" customWidth="1"/>
    <col min="13561" max="13561" width="12.42578125" customWidth="1"/>
    <col min="13562" max="13562" width="83" customWidth="1"/>
    <col min="13563" max="13565" width="14" customWidth="1"/>
    <col min="13566" max="13566" width="12.28515625" bestFit="1" customWidth="1"/>
    <col min="13567" max="13567" width="14" customWidth="1"/>
    <col min="13568" max="13568" width="15.5703125" bestFit="1" customWidth="1"/>
    <col min="13569" max="13573" width="14" customWidth="1"/>
    <col min="13574" max="13574" width="15.5703125" bestFit="1" customWidth="1"/>
    <col min="13575" max="13575" width="13.5703125" customWidth="1"/>
    <col min="13576" max="13576" width="13.42578125" customWidth="1"/>
    <col min="13577" max="13577" width="5.28515625" customWidth="1"/>
    <col min="13817" max="13817" width="12.42578125" customWidth="1"/>
    <col min="13818" max="13818" width="83" customWidth="1"/>
    <col min="13819" max="13821" width="14" customWidth="1"/>
    <col min="13822" max="13822" width="12.28515625" bestFit="1" customWidth="1"/>
    <col min="13823" max="13823" width="14" customWidth="1"/>
    <col min="13824" max="13824" width="15.5703125" bestFit="1" customWidth="1"/>
    <col min="13825" max="13829" width="14" customWidth="1"/>
    <col min="13830" max="13830" width="15.5703125" bestFit="1" customWidth="1"/>
    <col min="13831" max="13831" width="13.5703125" customWidth="1"/>
    <col min="13832" max="13832" width="13.42578125" customWidth="1"/>
    <col min="13833" max="13833" width="5.28515625" customWidth="1"/>
    <col min="14073" max="14073" width="12.42578125" customWidth="1"/>
    <col min="14074" max="14074" width="83" customWidth="1"/>
    <col min="14075" max="14077" width="14" customWidth="1"/>
    <col min="14078" max="14078" width="12.28515625" bestFit="1" customWidth="1"/>
    <col min="14079" max="14079" width="14" customWidth="1"/>
    <col min="14080" max="14080" width="15.5703125" bestFit="1" customWidth="1"/>
    <col min="14081" max="14085" width="14" customWidth="1"/>
    <col min="14086" max="14086" width="15.5703125" bestFit="1" customWidth="1"/>
    <col min="14087" max="14087" width="13.5703125" customWidth="1"/>
    <col min="14088" max="14088" width="13.42578125" customWidth="1"/>
    <col min="14089" max="14089" width="5.28515625" customWidth="1"/>
    <col min="14329" max="14329" width="12.42578125" customWidth="1"/>
    <col min="14330" max="14330" width="83" customWidth="1"/>
    <col min="14331" max="14333" width="14" customWidth="1"/>
    <col min="14334" max="14334" width="12.28515625" bestFit="1" customWidth="1"/>
    <col min="14335" max="14335" width="14" customWidth="1"/>
    <col min="14336" max="14336" width="15.5703125" bestFit="1" customWidth="1"/>
    <col min="14337" max="14341" width="14" customWidth="1"/>
    <col min="14342" max="14342" width="15.5703125" bestFit="1" customWidth="1"/>
    <col min="14343" max="14343" width="13.5703125" customWidth="1"/>
    <col min="14344" max="14344" width="13.42578125" customWidth="1"/>
    <col min="14345" max="14345" width="5.28515625" customWidth="1"/>
    <col min="14585" max="14585" width="12.42578125" customWidth="1"/>
    <col min="14586" max="14586" width="83" customWidth="1"/>
    <col min="14587" max="14589" width="14" customWidth="1"/>
    <col min="14590" max="14590" width="12.28515625" bestFit="1" customWidth="1"/>
    <col min="14591" max="14591" width="14" customWidth="1"/>
    <col min="14592" max="14592" width="15.5703125" bestFit="1" customWidth="1"/>
    <col min="14593" max="14597" width="14" customWidth="1"/>
    <col min="14598" max="14598" width="15.5703125" bestFit="1" customWidth="1"/>
    <col min="14599" max="14599" width="13.5703125" customWidth="1"/>
    <col min="14600" max="14600" width="13.42578125" customWidth="1"/>
    <col min="14601" max="14601" width="5.28515625" customWidth="1"/>
    <col min="14841" max="14841" width="12.42578125" customWidth="1"/>
    <col min="14842" max="14842" width="83" customWidth="1"/>
    <col min="14843" max="14845" width="14" customWidth="1"/>
    <col min="14846" max="14846" width="12.28515625" bestFit="1" customWidth="1"/>
    <col min="14847" max="14847" width="14" customWidth="1"/>
    <col min="14848" max="14848" width="15.5703125" bestFit="1" customWidth="1"/>
    <col min="14849" max="14853" width="14" customWidth="1"/>
    <col min="14854" max="14854" width="15.5703125" bestFit="1" customWidth="1"/>
    <col min="14855" max="14855" width="13.5703125" customWidth="1"/>
    <col min="14856" max="14856" width="13.42578125" customWidth="1"/>
    <col min="14857" max="14857" width="5.28515625" customWidth="1"/>
    <col min="15097" max="15097" width="12.42578125" customWidth="1"/>
    <col min="15098" max="15098" width="83" customWidth="1"/>
    <col min="15099" max="15101" width="14" customWidth="1"/>
    <col min="15102" max="15102" width="12.28515625" bestFit="1" customWidth="1"/>
    <col min="15103" max="15103" width="14" customWidth="1"/>
    <col min="15104" max="15104" width="15.5703125" bestFit="1" customWidth="1"/>
    <col min="15105" max="15109" width="14" customWidth="1"/>
    <col min="15110" max="15110" width="15.5703125" bestFit="1" customWidth="1"/>
    <col min="15111" max="15111" width="13.5703125" customWidth="1"/>
    <col min="15112" max="15112" width="13.42578125" customWidth="1"/>
    <col min="15113" max="15113" width="5.28515625" customWidth="1"/>
    <col min="15353" max="15353" width="12.42578125" customWidth="1"/>
    <col min="15354" max="15354" width="83" customWidth="1"/>
    <col min="15355" max="15357" width="14" customWidth="1"/>
    <col min="15358" max="15358" width="12.28515625" bestFit="1" customWidth="1"/>
    <col min="15359" max="15359" width="14" customWidth="1"/>
    <col min="15360" max="15360" width="15.5703125" bestFit="1" customWidth="1"/>
    <col min="15361" max="15365" width="14" customWidth="1"/>
    <col min="15366" max="15366" width="15.5703125" bestFit="1" customWidth="1"/>
    <col min="15367" max="15367" width="13.5703125" customWidth="1"/>
    <col min="15368" max="15368" width="13.42578125" customWidth="1"/>
    <col min="15369" max="15369" width="5.28515625" customWidth="1"/>
    <col min="15609" max="15609" width="12.42578125" customWidth="1"/>
    <col min="15610" max="15610" width="83" customWidth="1"/>
    <col min="15611" max="15613" width="14" customWidth="1"/>
    <col min="15614" max="15614" width="12.28515625" bestFit="1" customWidth="1"/>
    <col min="15615" max="15615" width="14" customWidth="1"/>
    <col min="15616" max="15616" width="15.5703125" bestFit="1" customWidth="1"/>
    <col min="15617" max="15621" width="14" customWidth="1"/>
    <col min="15622" max="15622" width="15.5703125" bestFit="1" customWidth="1"/>
    <col min="15623" max="15623" width="13.5703125" customWidth="1"/>
    <col min="15624" max="15624" width="13.42578125" customWidth="1"/>
    <col min="15625" max="15625" width="5.28515625" customWidth="1"/>
    <col min="15865" max="15865" width="12.42578125" customWidth="1"/>
    <col min="15866" max="15866" width="83" customWidth="1"/>
    <col min="15867" max="15869" width="14" customWidth="1"/>
    <col min="15870" max="15870" width="12.28515625" bestFit="1" customWidth="1"/>
    <col min="15871" max="15871" width="14" customWidth="1"/>
    <col min="15872" max="15872" width="15.5703125" bestFit="1" customWidth="1"/>
    <col min="15873" max="15877" width="14" customWidth="1"/>
    <col min="15878" max="15878" width="15.5703125" bestFit="1" customWidth="1"/>
    <col min="15879" max="15879" width="13.5703125" customWidth="1"/>
    <col min="15880" max="15880" width="13.42578125" customWidth="1"/>
    <col min="15881" max="15881" width="5.28515625" customWidth="1"/>
    <col min="16121" max="16121" width="12.42578125" customWidth="1"/>
    <col min="16122" max="16122" width="83" customWidth="1"/>
    <col min="16123" max="16125" width="14" customWidth="1"/>
    <col min="16126" max="16126" width="12.28515625" bestFit="1" customWidth="1"/>
    <col min="16127" max="16127" width="14" customWidth="1"/>
    <col min="16128" max="16128" width="15.5703125" bestFit="1" customWidth="1"/>
    <col min="16129" max="16133" width="14" customWidth="1"/>
    <col min="16134" max="16134" width="15.5703125" bestFit="1" customWidth="1"/>
    <col min="16135" max="16135" width="13.5703125" customWidth="1"/>
    <col min="16136" max="16136" width="13.42578125" customWidth="1"/>
    <col min="16137" max="16137" width="5.28515625" customWidth="1"/>
  </cols>
  <sheetData>
    <row r="1" spans="1:14" ht="14.25" x14ac:dyDescent="0.2">
      <c r="A1" s="93" t="str">
        <f>FT15.Participant!$A$1</f>
        <v>&lt;IAIG's Name&gt;</v>
      </c>
      <c r="B1" s="94"/>
      <c r="C1" s="94"/>
      <c r="D1" s="94"/>
      <c r="E1" s="94"/>
      <c r="F1" s="94"/>
      <c r="G1" s="94"/>
      <c r="H1" s="94"/>
      <c r="I1" s="94"/>
      <c r="J1" s="95" t="str">
        <f ca="1">HYPERLINK("#"&amp;CELL("address",FT15.IndexSheet),Version)</f>
        <v>2015 IAIS Field Testing Template</v>
      </c>
      <c r="L1" s="96" t="s">
        <v>87</v>
      </c>
      <c r="N1" s="914" t="s">
        <v>1076</v>
      </c>
    </row>
    <row r="2" spans="1:14" ht="15" x14ac:dyDescent="0.25">
      <c r="A2" s="97" t="str">
        <f>FT15.Participant!$A$2</f>
        <v>&lt;Currency&gt; - (&lt;Unit&gt;)</v>
      </c>
      <c r="B2" s="98" t="s">
        <v>78</v>
      </c>
      <c r="C2" s="99"/>
      <c r="D2" s="99"/>
      <c r="E2" s="99"/>
      <c r="F2" s="99"/>
      <c r="G2" s="99"/>
      <c r="H2" s="99"/>
      <c r="I2" s="99"/>
      <c r="J2" s="100" t="str">
        <f>FT15.Participant!$E$2</f>
        <v xml:space="preserve">&lt;Reporting Date&gt; - </v>
      </c>
      <c r="L2" s="96" t="s">
        <v>87</v>
      </c>
      <c r="N2" s="917" t="s">
        <v>1077</v>
      </c>
    </row>
    <row r="3" spans="1:14" ht="14.25" x14ac:dyDescent="0.2">
      <c r="L3" s="96" t="s">
        <v>87</v>
      </c>
      <c r="N3" s="918" t="s">
        <v>1078</v>
      </c>
    </row>
    <row r="4" spans="1:14" ht="51" x14ac:dyDescent="0.25">
      <c r="A4" s="653" t="s">
        <v>1079</v>
      </c>
      <c r="B4" s="708"/>
      <c r="C4" s="278" t="s">
        <v>690</v>
      </c>
      <c r="D4" s="278" t="s">
        <v>691</v>
      </c>
      <c r="E4" s="904" t="s">
        <v>1062</v>
      </c>
      <c r="L4" s="96" t="s">
        <v>87</v>
      </c>
    </row>
    <row r="5" spans="1:14" ht="14.25" x14ac:dyDescent="0.2">
      <c r="A5" s="720"/>
      <c r="B5" s="104">
        <v>93</v>
      </c>
      <c r="C5" s="105">
        <v>1</v>
      </c>
      <c r="D5" s="105">
        <v>2</v>
      </c>
      <c r="E5" s="106">
        <v>3</v>
      </c>
      <c r="L5" s="96" t="s">
        <v>87</v>
      </c>
    </row>
    <row r="6" spans="1:14" ht="14.25" x14ac:dyDescent="0.2">
      <c r="A6" s="150" t="s">
        <v>1080</v>
      </c>
      <c r="B6" s="261">
        <v>1</v>
      </c>
      <c r="C6" s="219" t="str">
        <f>IF(E6&lt;&gt;"-",INDEX(H13:J13,MATCH(E6,$N$1:$N$3,0)),"-")</f>
        <v>-</v>
      </c>
      <c r="D6" s="219" t="str">
        <f>IF(E6&lt;&gt;"-",INDEX(H12:J12,MATCH(E6,$N$1:$N$3,0)),"-")</f>
        <v>-</v>
      </c>
      <c r="E6" s="921" t="str">
        <f>IF(OR(H12&gt;0,I12&gt;0,J12&gt;0),INDEX(N1:N3,MATCH(MAX(H12:J12),H12:J12,0) ),"-")</f>
        <v>-</v>
      </c>
      <c r="L6" s="96" t="s">
        <v>87</v>
      </c>
    </row>
    <row r="7" spans="1:14" ht="14.25" x14ac:dyDescent="0.2">
      <c r="L7" s="96" t="s">
        <v>87</v>
      </c>
    </row>
    <row r="8" spans="1:14" ht="38.25" x14ac:dyDescent="0.2">
      <c r="C8" s="922" t="s">
        <v>1081</v>
      </c>
      <c r="H8" s="923" t="s">
        <v>1082</v>
      </c>
      <c r="I8" s="923" t="s">
        <v>1083</v>
      </c>
      <c r="J8" s="923" t="s">
        <v>1084</v>
      </c>
      <c r="L8" s="96" t="s">
        <v>87</v>
      </c>
    </row>
    <row r="9" spans="1:14" ht="14.25" x14ac:dyDescent="0.2">
      <c r="B9" s="124">
        <v>94</v>
      </c>
      <c r="C9" s="105">
        <v>1</v>
      </c>
      <c r="D9" s="105"/>
      <c r="E9" s="105"/>
      <c r="F9" s="105"/>
      <c r="G9" s="105"/>
      <c r="H9" s="105">
        <v>6</v>
      </c>
      <c r="I9" s="105">
        <v>7</v>
      </c>
      <c r="J9" s="106">
        <v>8</v>
      </c>
      <c r="L9" s="96" t="s">
        <v>87</v>
      </c>
    </row>
    <row r="10" spans="1:14" ht="14.25" x14ac:dyDescent="0.2">
      <c r="A10" s="924" t="s">
        <v>1085</v>
      </c>
      <c r="B10" s="234">
        <v>1</v>
      </c>
      <c r="C10" s="282">
        <f>SUM(C18:C25)-SUM(C30:C39,C42:C47)</f>
        <v>0</v>
      </c>
      <c r="D10" s="225"/>
      <c r="E10" s="225"/>
      <c r="F10" s="225"/>
      <c r="G10" s="225"/>
      <c r="H10" s="282">
        <f>SUM(H18:H25)-SUM(H30:H39,H42:H47)</f>
        <v>0</v>
      </c>
      <c r="I10" s="282">
        <f>SUM(I18:I25)-SUM(I30:I39,I42:I47)</f>
        <v>0</v>
      </c>
      <c r="J10" s="282">
        <f>SUM(J18:J25)-SUM(J30:J39,J42:J47)</f>
        <v>0</v>
      </c>
      <c r="L10" s="96" t="s">
        <v>87</v>
      </c>
    </row>
    <row r="11" spans="1:14" ht="14.25" x14ac:dyDescent="0.2">
      <c r="A11" s="925" t="s">
        <v>1086</v>
      </c>
      <c r="B11" s="234">
        <v>2</v>
      </c>
      <c r="C11" s="289"/>
      <c r="D11" s="230"/>
      <c r="E11" s="230"/>
      <c r="F11" s="230"/>
      <c r="G11" s="230"/>
      <c r="H11" s="137" t="s">
        <v>90</v>
      </c>
      <c r="I11" s="137" t="s">
        <v>90</v>
      </c>
      <c r="J11" s="137" t="s">
        <v>90</v>
      </c>
      <c r="L11" s="96" t="s">
        <v>87</v>
      </c>
    </row>
    <row r="12" spans="1:14" ht="14.25" x14ac:dyDescent="0.2">
      <c r="A12" s="112" t="s">
        <v>1087</v>
      </c>
      <c r="B12" s="234">
        <v>3</v>
      </c>
      <c r="C12" s="289"/>
      <c r="D12" s="230"/>
      <c r="E12" s="230"/>
      <c r="F12" s="230"/>
      <c r="G12" s="230"/>
      <c r="H12" s="285">
        <f>MAX(0,$C$10-H10)</f>
        <v>0</v>
      </c>
      <c r="I12" s="285">
        <f>MAX(0,$C$10-I10)</f>
        <v>0</v>
      </c>
      <c r="J12" s="285">
        <f>MAX(0,$C$10-J10)</f>
        <v>0</v>
      </c>
      <c r="L12" s="96" t="s">
        <v>87</v>
      </c>
    </row>
    <row r="13" spans="1:14" ht="14.25" x14ac:dyDescent="0.2">
      <c r="A13" s="103" t="s">
        <v>1088</v>
      </c>
      <c r="B13" s="261">
        <v>4</v>
      </c>
      <c r="C13" s="293"/>
      <c r="D13" s="323"/>
      <c r="E13" s="323"/>
      <c r="F13" s="323"/>
      <c r="G13" s="323"/>
      <c r="H13" s="153">
        <f>MAX(0,$C$10-SUM(H11))</f>
        <v>0</v>
      </c>
      <c r="I13" s="153">
        <f>MAX(0,$C$10-SUM(I11))</f>
        <v>0</v>
      </c>
      <c r="J13" s="153">
        <f>MAX(0,$C$10-SUM(J11))</f>
        <v>0</v>
      </c>
      <c r="L13" s="96" t="s">
        <v>87</v>
      </c>
    </row>
    <row r="14" spans="1:14" ht="14.25" x14ac:dyDescent="0.2">
      <c r="L14" s="96" t="s">
        <v>87</v>
      </c>
    </row>
    <row r="15" spans="1:14" ht="14.25" x14ac:dyDescent="0.2">
      <c r="A15" s="93"/>
      <c r="B15" s="207"/>
      <c r="C15" s="1438" t="s">
        <v>1089</v>
      </c>
      <c r="D15" s="926" t="s">
        <v>1090</v>
      </c>
      <c r="E15" s="712"/>
      <c r="F15" s="712"/>
      <c r="G15" s="713"/>
      <c r="H15" s="1421" t="s">
        <v>1091</v>
      </c>
      <c r="I15" s="1421" t="s">
        <v>1092</v>
      </c>
      <c r="J15" s="1421" t="s">
        <v>1093</v>
      </c>
      <c r="L15" s="96" t="s">
        <v>87</v>
      </c>
    </row>
    <row r="16" spans="1:14" s="929" customFormat="1" ht="66" customHeight="1" x14ac:dyDescent="0.2">
      <c r="A16" s="927" t="s">
        <v>1094</v>
      </c>
      <c r="B16" s="928"/>
      <c r="C16" s="1431"/>
      <c r="D16" s="278" t="s">
        <v>1095</v>
      </c>
      <c r="E16" s="278" t="s">
        <v>1096</v>
      </c>
      <c r="F16" s="278" t="s">
        <v>1097</v>
      </c>
      <c r="G16" s="278" t="s">
        <v>1098</v>
      </c>
      <c r="H16" s="1423"/>
      <c r="I16" s="1423"/>
      <c r="J16" s="1423"/>
      <c r="L16" s="96" t="s">
        <v>87</v>
      </c>
    </row>
    <row r="17" spans="1:22" s="929" customFormat="1" ht="15" x14ac:dyDescent="0.2">
      <c r="A17" s="930"/>
      <c r="B17" s="931">
        <v>95</v>
      </c>
      <c r="C17" s="105">
        <v>1</v>
      </c>
      <c r="D17" s="105">
        <v>2</v>
      </c>
      <c r="E17" s="105">
        <v>3</v>
      </c>
      <c r="F17" s="105">
        <v>4</v>
      </c>
      <c r="G17" s="105">
        <v>5</v>
      </c>
      <c r="H17" s="105">
        <v>6</v>
      </c>
      <c r="I17" s="105">
        <v>7</v>
      </c>
      <c r="J17" s="106">
        <v>8</v>
      </c>
      <c r="L17" s="96" t="s">
        <v>87</v>
      </c>
    </row>
    <row r="18" spans="1:22" ht="14.25" x14ac:dyDescent="0.2">
      <c r="A18" s="109" t="s">
        <v>906</v>
      </c>
      <c r="B18" s="234">
        <v>1</v>
      </c>
      <c r="C18" s="281">
        <f>SUM('ICS.Balance sheet'!G13:G19)</f>
        <v>0</v>
      </c>
      <c r="D18" s="149" t="s">
        <v>90</v>
      </c>
      <c r="E18" s="149" t="s">
        <v>90</v>
      </c>
      <c r="F18" s="149" t="s">
        <v>90</v>
      </c>
      <c r="G18" s="149" t="s">
        <v>90</v>
      </c>
      <c r="H18" s="149" t="s">
        <v>90</v>
      </c>
      <c r="I18" s="149" t="s">
        <v>90</v>
      </c>
      <c r="J18" s="149" t="s">
        <v>90</v>
      </c>
      <c r="L18" s="96" t="s">
        <v>87</v>
      </c>
      <c r="O18" s="929"/>
      <c r="T18" s="929"/>
      <c r="U18" s="929"/>
      <c r="V18" s="929"/>
    </row>
    <row r="19" spans="1:22" ht="14.25" x14ac:dyDescent="0.2">
      <c r="A19" s="109" t="s">
        <v>1099</v>
      </c>
      <c r="B19" s="234">
        <v>2</v>
      </c>
      <c r="C19" s="284">
        <f>SUM('ICS.Balance sheet'!G20:G22)</f>
        <v>0</v>
      </c>
      <c r="D19" s="137" t="s">
        <v>90</v>
      </c>
      <c r="E19" s="137" t="s">
        <v>90</v>
      </c>
      <c r="F19" s="137" t="s">
        <v>90</v>
      </c>
      <c r="G19" s="137" t="s">
        <v>90</v>
      </c>
      <c r="H19" s="137" t="s">
        <v>90</v>
      </c>
      <c r="I19" s="137" t="s">
        <v>90</v>
      </c>
      <c r="J19" s="137" t="s">
        <v>90</v>
      </c>
      <c r="L19" s="96" t="s">
        <v>87</v>
      </c>
      <c r="O19" s="929"/>
      <c r="T19" s="929"/>
      <c r="U19" s="929"/>
      <c r="V19" s="929"/>
    </row>
    <row r="20" spans="1:22" ht="14.25" x14ac:dyDescent="0.2">
      <c r="A20" s="109" t="s">
        <v>1100</v>
      </c>
      <c r="B20" s="234">
        <v>3</v>
      </c>
      <c r="C20" s="284">
        <f>SUM('ICS.Balance sheet'!G24:G27)</f>
        <v>0</v>
      </c>
      <c r="D20" s="137" t="s">
        <v>90</v>
      </c>
      <c r="E20" s="137" t="s">
        <v>90</v>
      </c>
      <c r="F20" s="137" t="s">
        <v>90</v>
      </c>
      <c r="G20" s="137" t="s">
        <v>90</v>
      </c>
      <c r="H20" s="137" t="s">
        <v>90</v>
      </c>
      <c r="I20" s="137" t="s">
        <v>90</v>
      </c>
      <c r="J20" s="137" t="s">
        <v>90</v>
      </c>
      <c r="L20" s="96" t="s">
        <v>87</v>
      </c>
      <c r="O20" s="929"/>
      <c r="T20" s="929"/>
      <c r="U20" s="929"/>
      <c r="V20" s="929"/>
    </row>
    <row r="21" spans="1:22" ht="14.25" x14ac:dyDescent="0.2">
      <c r="A21" s="109" t="s">
        <v>247</v>
      </c>
      <c r="B21" s="234">
        <v>4</v>
      </c>
      <c r="C21" s="284">
        <f>SUM('ICS.Balance sheet'!G10)-SUM(C18:C20)</f>
        <v>0</v>
      </c>
      <c r="D21" s="137" t="s">
        <v>90</v>
      </c>
      <c r="E21" s="137" t="s">
        <v>90</v>
      </c>
      <c r="F21" s="137" t="s">
        <v>90</v>
      </c>
      <c r="G21" s="137" t="s">
        <v>90</v>
      </c>
      <c r="H21" s="137" t="s">
        <v>90</v>
      </c>
      <c r="I21" s="137" t="s">
        <v>90</v>
      </c>
      <c r="J21" s="137" t="s">
        <v>90</v>
      </c>
      <c r="L21" s="96" t="s">
        <v>87</v>
      </c>
      <c r="O21" s="929"/>
      <c r="T21" s="929"/>
      <c r="U21" s="929"/>
      <c r="V21" s="929"/>
    </row>
    <row r="22" spans="1:22" ht="14.25" x14ac:dyDescent="0.2">
      <c r="A22" s="112" t="s">
        <v>1101</v>
      </c>
      <c r="B22" s="234">
        <v>5</v>
      </c>
      <c r="C22" s="284">
        <f>SUM('ICS.Balance sheet'!G34)</f>
        <v>0</v>
      </c>
      <c r="D22" s="137" t="s">
        <v>90</v>
      </c>
      <c r="E22" s="137" t="s">
        <v>90</v>
      </c>
      <c r="F22" s="137" t="s">
        <v>90</v>
      </c>
      <c r="G22" s="137" t="s">
        <v>90</v>
      </c>
      <c r="H22" s="137" t="s">
        <v>90</v>
      </c>
      <c r="I22" s="137" t="s">
        <v>90</v>
      </c>
      <c r="J22" s="137" t="s">
        <v>90</v>
      </c>
      <c r="L22" s="96" t="s">
        <v>87</v>
      </c>
      <c r="O22" s="929"/>
      <c r="T22" s="929"/>
      <c r="U22" s="929"/>
      <c r="V22" s="929"/>
    </row>
    <row r="23" spans="1:22" ht="14.25" x14ac:dyDescent="0.2">
      <c r="A23" s="112" t="s">
        <v>1102</v>
      </c>
      <c r="B23" s="234">
        <v>6</v>
      </c>
      <c r="C23" s="284">
        <f>SUM('ICS.Balance sheet'!G35:G36)</f>
        <v>0</v>
      </c>
      <c r="D23" s="137" t="s">
        <v>90</v>
      </c>
      <c r="E23" s="137" t="s">
        <v>90</v>
      </c>
      <c r="F23" s="137" t="s">
        <v>90</v>
      </c>
      <c r="G23" s="137" t="s">
        <v>90</v>
      </c>
      <c r="H23" s="137" t="s">
        <v>90</v>
      </c>
      <c r="I23" s="137" t="s">
        <v>90</v>
      </c>
      <c r="J23" s="137" t="s">
        <v>90</v>
      </c>
      <c r="L23" s="96" t="s">
        <v>87</v>
      </c>
      <c r="T23" s="929"/>
      <c r="U23" s="929"/>
      <c r="V23" s="929"/>
    </row>
    <row r="24" spans="1:22" ht="14.25" x14ac:dyDescent="0.2">
      <c r="A24" s="112" t="s">
        <v>1103</v>
      </c>
      <c r="B24" s="234">
        <v>7</v>
      </c>
      <c r="C24" s="284">
        <f>SUM('ICS.Balance sheet'!G37,'ICS.Balance sheet'!G44)</f>
        <v>0</v>
      </c>
      <c r="D24" s="137" t="s">
        <v>90</v>
      </c>
      <c r="E24" s="137" t="s">
        <v>90</v>
      </c>
      <c r="F24" s="137" t="s">
        <v>90</v>
      </c>
      <c r="G24" s="137" t="s">
        <v>90</v>
      </c>
      <c r="H24" s="137" t="s">
        <v>90</v>
      </c>
      <c r="I24" s="137" t="s">
        <v>90</v>
      </c>
      <c r="J24" s="137" t="s">
        <v>90</v>
      </c>
      <c r="L24" s="96" t="s">
        <v>87</v>
      </c>
      <c r="T24" s="929"/>
      <c r="U24" s="929"/>
      <c r="V24" s="929"/>
    </row>
    <row r="25" spans="1:22" ht="14.25" x14ac:dyDescent="0.2">
      <c r="A25" s="118" t="s">
        <v>1104</v>
      </c>
      <c r="B25" s="261">
        <v>8</v>
      </c>
      <c r="C25" s="139" t="s">
        <v>90</v>
      </c>
      <c r="D25" s="139" t="s">
        <v>90</v>
      </c>
      <c r="E25" s="139" t="s">
        <v>90</v>
      </c>
      <c r="F25" s="139" t="s">
        <v>90</v>
      </c>
      <c r="G25" s="139" t="s">
        <v>90</v>
      </c>
      <c r="H25" s="139" t="s">
        <v>90</v>
      </c>
      <c r="I25" s="139" t="s">
        <v>90</v>
      </c>
      <c r="J25" s="139" t="s">
        <v>90</v>
      </c>
      <c r="L25" s="96" t="s">
        <v>87</v>
      </c>
      <c r="T25" s="929"/>
      <c r="U25" s="929"/>
      <c r="V25" s="929"/>
    </row>
    <row r="26" spans="1:22" s="703" customFormat="1" ht="14.25" x14ac:dyDescent="0.2">
      <c r="A26" s="932"/>
      <c r="B26" s="932"/>
      <c r="C26" s="933"/>
      <c r="D26" s="933"/>
      <c r="E26" s="933"/>
      <c r="F26" s="933"/>
      <c r="G26" s="933"/>
      <c r="H26" s="933"/>
      <c r="I26" s="933"/>
      <c r="J26" s="933"/>
      <c r="L26" s="96" t="s">
        <v>87</v>
      </c>
      <c r="T26" s="929"/>
      <c r="U26" s="929"/>
      <c r="V26" s="929"/>
    </row>
    <row r="27" spans="1:22" s="703" customFormat="1" ht="14.25" x14ac:dyDescent="0.2">
      <c r="A27" s="93"/>
      <c r="B27" s="207"/>
      <c r="C27" s="1424" t="s">
        <v>1105</v>
      </c>
      <c r="D27" s="926" t="s">
        <v>1090</v>
      </c>
      <c r="E27" s="712"/>
      <c r="F27" s="712"/>
      <c r="G27" s="713"/>
      <c r="H27" s="1421" t="s">
        <v>1106</v>
      </c>
      <c r="I27" s="1421" t="s">
        <v>1107</v>
      </c>
      <c r="J27" s="1421" t="s">
        <v>1108</v>
      </c>
      <c r="L27" s="96" t="s">
        <v>87</v>
      </c>
      <c r="T27" s="929"/>
      <c r="U27" s="929"/>
      <c r="V27" s="929"/>
    </row>
    <row r="28" spans="1:22" ht="85.15" customHeight="1" x14ac:dyDescent="0.2">
      <c r="A28" s="927" t="s">
        <v>1109</v>
      </c>
      <c r="B28" s="928"/>
      <c r="C28" s="1423"/>
      <c r="D28" s="278" t="s">
        <v>1095</v>
      </c>
      <c r="E28" s="278" t="s">
        <v>1096</v>
      </c>
      <c r="F28" s="278" t="s">
        <v>1097</v>
      </c>
      <c r="G28" s="278" t="s">
        <v>1098</v>
      </c>
      <c r="H28" s="1423"/>
      <c r="I28" s="1423"/>
      <c r="J28" s="1423"/>
      <c r="L28" s="96" t="s">
        <v>87</v>
      </c>
    </row>
    <row r="29" spans="1:22" ht="15" x14ac:dyDescent="0.2">
      <c r="A29" s="927"/>
      <c r="B29" s="124">
        <v>96</v>
      </c>
      <c r="C29" s="105">
        <v>1</v>
      </c>
      <c r="D29" s="105">
        <v>2</v>
      </c>
      <c r="E29" s="105">
        <v>3</v>
      </c>
      <c r="F29" s="105">
        <v>4</v>
      </c>
      <c r="G29" s="105">
        <v>5</v>
      </c>
      <c r="H29" s="105">
        <v>6</v>
      </c>
      <c r="I29" s="105">
        <v>7</v>
      </c>
      <c r="J29" s="106">
        <v>8</v>
      </c>
      <c r="L29" s="96" t="s">
        <v>87</v>
      </c>
    </row>
    <row r="30" spans="1:22" ht="14.25" x14ac:dyDescent="0.2">
      <c r="A30" s="934" t="s">
        <v>262</v>
      </c>
      <c r="B30" s="234"/>
      <c r="C30" s="224"/>
      <c r="D30" s="225"/>
      <c r="E30" s="225"/>
      <c r="F30" s="225"/>
      <c r="G30" s="225"/>
      <c r="H30" s="225"/>
      <c r="I30" s="225"/>
      <c r="J30" s="742"/>
      <c r="L30" s="96" t="s">
        <v>87</v>
      </c>
    </row>
    <row r="31" spans="1:22" ht="14.25" x14ac:dyDescent="0.2">
      <c r="A31" s="272" t="s">
        <v>263</v>
      </c>
      <c r="B31" s="234">
        <v>1</v>
      </c>
      <c r="C31" s="284">
        <f>SUM('ICS.Balance sheet'!E116)</f>
        <v>0</v>
      </c>
      <c r="D31" s="137" t="s">
        <v>90</v>
      </c>
      <c r="E31" s="137" t="s">
        <v>90</v>
      </c>
      <c r="F31" s="137" t="s">
        <v>90</v>
      </c>
      <c r="G31" s="137" t="s">
        <v>90</v>
      </c>
      <c r="H31" s="137" t="s">
        <v>90</v>
      </c>
      <c r="I31" s="137" t="s">
        <v>90</v>
      </c>
      <c r="J31" s="137" t="s">
        <v>90</v>
      </c>
      <c r="L31" s="96" t="s">
        <v>87</v>
      </c>
    </row>
    <row r="32" spans="1:22" ht="14.25" x14ac:dyDescent="0.2">
      <c r="A32" s="272" t="s">
        <v>264</v>
      </c>
      <c r="B32" s="234">
        <v>2</v>
      </c>
      <c r="C32" s="284">
        <f>SUM('ICS.Balance sheet'!E117)</f>
        <v>0</v>
      </c>
      <c r="D32" s="137" t="s">
        <v>90</v>
      </c>
      <c r="E32" s="137" t="s">
        <v>90</v>
      </c>
      <c r="F32" s="137" t="s">
        <v>90</v>
      </c>
      <c r="G32" s="137" t="s">
        <v>90</v>
      </c>
      <c r="H32" s="137" t="s">
        <v>90</v>
      </c>
      <c r="I32" s="137" t="s">
        <v>90</v>
      </c>
      <c r="J32" s="137" t="s">
        <v>90</v>
      </c>
      <c r="L32" s="96" t="s">
        <v>87</v>
      </c>
    </row>
    <row r="33" spans="1:12" ht="14.25" x14ac:dyDescent="0.2">
      <c r="A33" s="272" t="s">
        <v>265</v>
      </c>
      <c r="B33" s="234">
        <v>3</v>
      </c>
      <c r="C33" s="284">
        <f>SUM('ICS.Balance sheet'!E118)</f>
        <v>0</v>
      </c>
      <c r="D33" s="137" t="s">
        <v>90</v>
      </c>
      <c r="E33" s="137" t="s">
        <v>90</v>
      </c>
      <c r="F33" s="137" t="s">
        <v>90</v>
      </c>
      <c r="G33" s="137" t="s">
        <v>90</v>
      </c>
      <c r="H33" s="137" t="s">
        <v>90</v>
      </c>
      <c r="I33" s="137" t="s">
        <v>90</v>
      </c>
      <c r="J33" s="137" t="s">
        <v>90</v>
      </c>
      <c r="L33" s="96" t="s">
        <v>87</v>
      </c>
    </row>
    <row r="34" spans="1:12" ht="14.25" x14ac:dyDescent="0.2">
      <c r="A34" s="272" t="s">
        <v>266</v>
      </c>
      <c r="B34" s="234">
        <v>4</v>
      </c>
      <c r="C34" s="284">
        <f>SUM('ICS.Balance sheet'!E119)</f>
        <v>0</v>
      </c>
      <c r="D34" s="137" t="s">
        <v>90</v>
      </c>
      <c r="E34" s="137" t="s">
        <v>90</v>
      </c>
      <c r="F34" s="137" t="s">
        <v>90</v>
      </c>
      <c r="G34" s="137" t="s">
        <v>90</v>
      </c>
      <c r="H34" s="137" t="s">
        <v>90</v>
      </c>
      <c r="I34" s="137" t="s">
        <v>90</v>
      </c>
      <c r="J34" s="137" t="s">
        <v>90</v>
      </c>
      <c r="L34" s="96" t="s">
        <v>87</v>
      </c>
    </row>
    <row r="35" spans="1:12" ht="14.25" x14ac:dyDescent="0.2">
      <c r="A35" s="272" t="s">
        <v>188</v>
      </c>
      <c r="B35" s="234">
        <v>5</v>
      </c>
      <c r="C35" s="284">
        <f>SUM('ICS.Balance sheet'!E120)</f>
        <v>0</v>
      </c>
      <c r="D35" s="137" t="s">
        <v>90</v>
      </c>
      <c r="E35" s="137" t="s">
        <v>90</v>
      </c>
      <c r="F35" s="137" t="s">
        <v>90</v>
      </c>
      <c r="G35" s="137" t="s">
        <v>90</v>
      </c>
      <c r="H35" s="137" t="s">
        <v>90</v>
      </c>
      <c r="I35" s="137" t="s">
        <v>90</v>
      </c>
      <c r="J35" s="137" t="s">
        <v>90</v>
      </c>
      <c r="L35" s="96" t="s">
        <v>87</v>
      </c>
    </row>
    <row r="36" spans="1:12" ht="14.25" x14ac:dyDescent="0.2">
      <c r="A36" s="272" t="s">
        <v>186</v>
      </c>
      <c r="B36" s="234">
        <v>6</v>
      </c>
      <c r="C36" s="284">
        <f>SUM('ICS.Balance sheet'!E121)</f>
        <v>0</v>
      </c>
      <c r="D36" s="137" t="s">
        <v>90</v>
      </c>
      <c r="E36" s="137" t="s">
        <v>90</v>
      </c>
      <c r="F36" s="137" t="s">
        <v>90</v>
      </c>
      <c r="G36" s="137" t="s">
        <v>90</v>
      </c>
      <c r="H36" s="137" t="s">
        <v>90</v>
      </c>
      <c r="I36" s="137" t="s">
        <v>90</v>
      </c>
      <c r="J36" s="137" t="s">
        <v>90</v>
      </c>
      <c r="L36" s="96" t="s">
        <v>87</v>
      </c>
    </row>
    <row r="37" spans="1:12" ht="14.25" x14ac:dyDescent="0.2">
      <c r="A37" s="272" t="s">
        <v>267</v>
      </c>
      <c r="B37" s="234">
        <v>7</v>
      </c>
      <c r="C37" s="284">
        <f>SUM('ICS.Balance sheet'!E122)</f>
        <v>0</v>
      </c>
      <c r="D37" s="137" t="s">
        <v>90</v>
      </c>
      <c r="E37" s="137" t="s">
        <v>90</v>
      </c>
      <c r="F37" s="137" t="s">
        <v>90</v>
      </c>
      <c r="G37" s="137" t="s">
        <v>90</v>
      </c>
      <c r="H37" s="137" t="s">
        <v>90</v>
      </c>
      <c r="I37" s="137" t="s">
        <v>90</v>
      </c>
      <c r="J37" s="137" t="s">
        <v>90</v>
      </c>
      <c r="L37" s="96" t="s">
        <v>87</v>
      </c>
    </row>
    <row r="38" spans="1:12" ht="14.25" x14ac:dyDescent="0.2">
      <c r="A38" s="317" t="s">
        <v>268</v>
      </c>
      <c r="B38" s="234"/>
      <c r="C38" s="145"/>
      <c r="D38" s="230"/>
      <c r="E38" s="230"/>
      <c r="F38" s="230"/>
      <c r="G38" s="230"/>
      <c r="H38" s="230"/>
      <c r="I38" s="230"/>
      <c r="J38" s="111"/>
      <c r="L38" s="96" t="s">
        <v>87</v>
      </c>
    </row>
    <row r="39" spans="1:12" ht="14.25" x14ac:dyDescent="0.2">
      <c r="A39" s="272" t="s">
        <v>269</v>
      </c>
      <c r="B39" s="234">
        <v>8</v>
      </c>
      <c r="C39" s="284">
        <f>SUM('ICS.Balance sheet'!E124)</f>
        <v>0</v>
      </c>
      <c r="D39" s="137" t="s">
        <v>90</v>
      </c>
      <c r="E39" s="137" t="s">
        <v>90</v>
      </c>
      <c r="F39" s="137" t="s">
        <v>90</v>
      </c>
      <c r="G39" s="137" t="s">
        <v>90</v>
      </c>
      <c r="H39" s="137" t="s">
        <v>90</v>
      </c>
      <c r="I39" s="137" t="s">
        <v>90</v>
      </c>
      <c r="J39" s="137" t="s">
        <v>90</v>
      </c>
      <c r="L39" s="96" t="s">
        <v>87</v>
      </c>
    </row>
    <row r="40" spans="1:12" ht="14.25" x14ac:dyDescent="0.2">
      <c r="A40" s="319" t="s">
        <v>270</v>
      </c>
      <c r="B40" s="234">
        <v>9</v>
      </c>
      <c r="C40" s="284">
        <f>SUM('ICS.Balance sheet'!E125)</f>
        <v>0</v>
      </c>
      <c r="D40" s="137" t="s">
        <v>90</v>
      </c>
      <c r="E40" s="137" t="s">
        <v>90</v>
      </c>
      <c r="F40" s="137" t="s">
        <v>90</v>
      </c>
      <c r="G40" s="137" t="s">
        <v>90</v>
      </c>
      <c r="H40" s="137" t="s">
        <v>90</v>
      </c>
      <c r="I40" s="137" t="s">
        <v>90</v>
      </c>
      <c r="J40" s="137" t="s">
        <v>90</v>
      </c>
      <c r="L40" s="96" t="s">
        <v>87</v>
      </c>
    </row>
    <row r="41" spans="1:12" ht="14.25" x14ac:dyDescent="0.2">
      <c r="A41" s="319" t="s">
        <v>271</v>
      </c>
      <c r="B41" s="234">
        <v>10</v>
      </c>
      <c r="C41" s="284">
        <f>SUM('ICS.Balance sheet'!E126)</f>
        <v>0</v>
      </c>
      <c r="D41" s="137" t="s">
        <v>90</v>
      </c>
      <c r="E41" s="137" t="s">
        <v>90</v>
      </c>
      <c r="F41" s="137" t="s">
        <v>90</v>
      </c>
      <c r="G41" s="137" t="s">
        <v>90</v>
      </c>
      <c r="H41" s="137" t="s">
        <v>90</v>
      </c>
      <c r="I41" s="137" t="s">
        <v>90</v>
      </c>
      <c r="J41" s="137" t="s">
        <v>90</v>
      </c>
      <c r="L41" s="96" t="s">
        <v>87</v>
      </c>
    </row>
    <row r="42" spans="1:12" ht="14.25" x14ac:dyDescent="0.2">
      <c r="A42" s="272" t="s">
        <v>272</v>
      </c>
      <c r="B42" s="234">
        <v>11</v>
      </c>
      <c r="C42" s="284">
        <f>SUM('ICS.Balance sheet'!E127)</f>
        <v>0</v>
      </c>
      <c r="D42" s="137" t="s">
        <v>90</v>
      </c>
      <c r="E42" s="137" t="s">
        <v>90</v>
      </c>
      <c r="F42" s="137" t="s">
        <v>90</v>
      </c>
      <c r="G42" s="137" t="s">
        <v>90</v>
      </c>
      <c r="H42" s="137" t="s">
        <v>90</v>
      </c>
      <c r="I42" s="137" t="s">
        <v>90</v>
      </c>
      <c r="J42" s="137" t="s">
        <v>90</v>
      </c>
      <c r="L42" s="96" t="s">
        <v>87</v>
      </c>
    </row>
    <row r="43" spans="1:12" ht="14.25" x14ac:dyDescent="0.2">
      <c r="A43" s="272" t="s">
        <v>273</v>
      </c>
      <c r="B43" s="234">
        <v>12</v>
      </c>
      <c r="C43" s="284">
        <f>SUM('ICS.Balance sheet'!E128)</f>
        <v>0</v>
      </c>
      <c r="D43" s="137" t="s">
        <v>90</v>
      </c>
      <c r="E43" s="137" t="s">
        <v>90</v>
      </c>
      <c r="F43" s="137" t="s">
        <v>90</v>
      </c>
      <c r="G43" s="137" t="s">
        <v>90</v>
      </c>
      <c r="H43" s="137" t="s">
        <v>90</v>
      </c>
      <c r="I43" s="137" t="s">
        <v>90</v>
      </c>
      <c r="J43" s="137" t="s">
        <v>90</v>
      </c>
      <c r="L43" s="96" t="s">
        <v>87</v>
      </c>
    </row>
    <row r="44" spans="1:12" ht="14.25" x14ac:dyDescent="0.2">
      <c r="A44" s="272" t="s">
        <v>274</v>
      </c>
      <c r="B44" s="234">
        <v>13</v>
      </c>
      <c r="C44" s="284">
        <f>SUM('ICS.Balance sheet'!E129)</f>
        <v>0</v>
      </c>
      <c r="D44" s="137" t="s">
        <v>90</v>
      </c>
      <c r="E44" s="137" t="s">
        <v>90</v>
      </c>
      <c r="F44" s="137" t="s">
        <v>90</v>
      </c>
      <c r="G44" s="137" t="s">
        <v>90</v>
      </c>
      <c r="H44" s="137" t="s">
        <v>90</v>
      </c>
      <c r="I44" s="137" t="s">
        <v>90</v>
      </c>
      <c r="J44" s="137" t="s">
        <v>90</v>
      </c>
      <c r="L44" s="96" t="s">
        <v>87</v>
      </c>
    </row>
    <row r="45" spans="1:12" ht="14.25" x14ac:dyDescent="0.2">
      <c r="A45" s="317" t="s">
        <v>1110</v>
      </c>
      <c r="B45" s="234"/>
      <c r="C45" s="145"/>
      <c r="D45" s="230"/>
      <c r="E45" s="230"/>
      <c r="F45" s="230"/>
      <c r="G45" s="230"/>
      <c r="H45" s="230"/>
      <c r="I45" s="230"/>
      <c r="J45" s="111"/>
      <c r="L45" s="96" t="s">
        <v>87</v>
      </c>
    </row>
    <row r="46" spans="1:12" ht="14.25" x14ac:dyDescent="0.2">
      <c r="A46" s="272" t="s">
        <v>275</v>
      </c>
      <c r="B46" s="234">
        <v>14</v>
      </c>
      <c r="C46" s="935">
        <f>SUM('ICS.Balance sheet'!E130)</f>
        <v>0</v>
      </c>
      <c r="D46" s="137" t="s">
        <v>90</v>
      </c>
      <c r="E46" s="137" t="s">
        <v>90</v>
      </c>
      <c r="F46" s="137" t="s">
        <v>90</v>
      </c>
      <c r="G46" s="137" t="s">
        <v>90</v>
      </c>
      <c r="H46" s="137" t="s">
        <v>90</v>
      </c>
      <c r="I46" s="137" t="s">
        <v>90</v>
      </c>
      <c r="J46" s="137" t="s">
        <v>90</v>
      </c>
      <c r="L46" s="96" t="s">
        <v>87</v>
      </c>
    </row>
    <row r="47" spans="1:12" ht="14.25" x14ac:dyDescent="0.2">
      <c r="A47" s="936" t="s">
        <v>1111</v>
      </c>
      <c r="B47" s="261">
        <v>15</v>
      </c>
      <c r="C47" s="139" t="s">
        <v>90</v>
      </c>
      <c r="D47" s="139" t="s">
        <v>90</v>
      </c>
      <c r="E47" s="139" t="s">
        <v>90</v>
      </c>
      <c r="F47" s="139" t="s">
        <v>90</v>
      </c>
      <c r="G47" s="139" t="s">
        <v>90</v>
      </c>
      <c r="H47" s="139" t="s">
        <v>90</v>
      </c>
      <c r="I47" s="139" t="s">
        <v>90</v>
      </c>
      <c r="J47" s="139" t="s">
        <v>90</v>
      </c>
      <c r="L47" s="96" t="s">
        <v>87</v>
      </c>
    </row>
    <row r="48" spans="1:12" ht="14.25" x14ac:dyDescent="0.2">
      <c r="L48" s="96" t="s">
        <v>87</v>
      </c>
    </row>
    <row r="49" spans="1:12" ht="14.25" x14ac:dyDescent="0.2">
      <c r="A49" s="96" t="s">
        <v>87</v>
      </c>
      <c r="B49" s="96" t="s">
        <v>87</v>
      </c>
      <c r="C49" s="96" t="s">
        <v>87</v>
      </c>
      <c r="D49" s="96" t="s">
        <v>87</v>
      </c>
      <c r="E49" s="96" t="s">
        <v>87</v>
      </c>
      <c r="F49" s="96" t="s">
        <v>87</v>
      </c>
      <c r="G49" s="96" t="s">
        <v>87</v>
      </c>
      <c r="H49" s="96" t="s">
        <v>87</v>
      </c>
      <c r="I49" s="96" t="s">
        <v>87</v>
      </c>
      <c r="J49" s="96" t="s">
        <v>87</v>
      </c>
      <c r="K49" s="96" t="s">
        <v>87</v>
      </c>
      <c r="L49" s="96" t="s">
        <v>87</v>
      </c>
    </row>
  </sheetData>
  <mergeCells count="8">
    <mergeCell ref="C15:C16"/>
    <mergeCell ref="H15:H16"/>
    <mergeCell ref="I15:I16"/>
    <mergeCell ref="J15:J16"/>
    <mergeCell ref="C27:C28"/>
    <mergeCell ref="H27:H28"/>
    <mergeCell ref="I27:I28"/>
    <mergeCell ref="J27:J28"/>
  </mergeCells>
  <pageMargins left="0.25" right="0.25" top="0.75" bottom="0.75" header="0.3" footer="0.3"/>
  <pageSetup paperSize="9" orientation="landscape" r:id="rId1"/>
  <headerFooter>
    <oddHeader>&amp;L
&amp;R&amp;14Restricted</oddHeader>
    <oddFooter>&amp;L&amp;F&amp;C&amp;A&amp;RPage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FFFF00"/>
    <pageSetUpPr fitToPage="1"/>
  </sheetPr>
  <dimension ref="A1:Q67"/>
  <sheetViews>
    <sheetView workbookViewId="0">
      <selection activeCell="A4" sqref="A4"/>
    </sheetView>
  </sheetViews>
  <sheetFormatPr defaultColWidth="10.140625" defaultRowHeight="12.75" x14ac:dyDescent="0.2"/>
  <cols>
    <col min="1" max="1" width="44.7109375" customWidth="1"/>
    <col min="2" max="2" width="3.28515625" customWidth="1"/>
    <col min="3" max="10" width="10.7109375" customWidth="1"/>
    <col min="11" max="11" width="2.28515625" customWidth="1"/>
    <col min="12" max="12" width="2" customWidth="1"/>
    <col min="13" max="13" width="4.28515625" customWidth="1"/>
    <col min="14" max="14" width="12.28515625" customWidth="1"/>
    <col min="15" max="15" width="3.5703125" customWidth="1"/>
    <col min="16" max="16" width="2" customWidth="1"/>
  </cols>
  <sheetData>
    <row r="1" spans="1:17" x14ac:dyDescent="0.2">
      <c r="A1" s="93" t="str">
        <f>FT15.Participant!$A$1</f>
        <v>&lt;IAIG's Name&gt;</v>
      </c>
      <c r="B1" s="94"/>
      <c r="C1" s="94"/>
      <c r="D1" s="94"/>
      <c r="E1" s="94"/>
      <c r="F1" s="94"/>
      <c r="G1" s="94"/>
      <c r="H1" s="94"/>
      <c r="I1" s="94"/>
      <c r="J1" s="95" t="str">
        <f ca="1">HYPERLINK("#"&amp;CELL("address",FT15.IndexSheet),Version)</f>
        <v>2015 IAIS Field Testing Template</v>
      </c>
      <c r="L1" s="699" t="s">
        <v>87</v>
      </c>
      <c r="P1" s="699" t="s">
        <v>87</v>
      </c>
    </row>
    <row r="2" spans="1:17" ht="15" x14ac:dyDescent="0.25">
      <c r="A2" s="97" t="str">
        <f>FT15.Participant!$A$2</f>
        <v>&lt;Currency&gt; - (&lt;Unit&gt;)</v>
      </c>
      <c r="B2" s="98" t="s">
        <v>80</v>
      </c>
      <c r="C2" s="99"/>
      <c r="D2" s="99"/>
      <c r="E2" s="99"/>
      <c r="F2" s="99"/>
      <c r="G2" s="99"/>
      <c r="H2" s="99"/>
      <c r="I2" s="99"/>
      <c r="J2" s="100" t="str">
        <f>FT15.Participant!$E$2</f>
        <v xml:space="preserve">&lt;Reporting Date&gt; - </v>
      </c>
      <c r="L2" s="699" t="s">
        <v>87</v>
      </c>
      <c r="P2" s="699" t="s">
        <v>87</v>
      </c>
    </row>
    <row r="3" spans="1:17" x14ac:dyDescent="0.2">
      <c r="L3" s="699" t="s">
        <v>87</v>
      </c>
      <c r="P3" s="699" t="s">
        <v>87</v>
      </c>
    </row>
    <row r="4" spans="1:17" ht="15" customHeight="1" x14ac:dyDescent="0.25">
      <c r="A4" s="937" t="s">
        <v>1112</v>
      </c>
      <c r="B4" s="764"/>
      <c r="C4" s="332" t="s">
        <v>47</v>
      </c>
      <c r="D4" s="334"/>
      <c r="E4" s="1486" t="s">
        <v>1113</v>
      </c>
      <c r="F4" s="1487"/>
      <c r="G4" s="1486" t="s">
        <v>1114</v>
      </c>
      <c r="H4" s="1487"/>
      <c r="L4" s="699" t="s">
        <v>87</v>
      </c>
      <c r="N4" s="4" t="s">
        <v>90</v>
      </c>
      <c r="P4" s="699" t="s">
        <v>87</v>
      </c>
    </row>
    <row r="5" spans="1:17" ht="15" x14ac:dyDescent="0.25">
      <c r="A5" s="938"/>
      <c r="B5" s="104">
        <v>97</v>
      </c>
      <c r="C5" s="939">
        <v>1</v>
      </c>
      <c r="D5" s="939"/>
      <c r="E5" s="939">
        <v>2</v>
      </c>
      <c r="F5" s="939"/>
      <c r="G5" s="1488">
        <v>3</v>
      </c>
      <c r="H5" s="1488"/>
      <c r="L5" s="699" t="s">
        <v>87</v>
      </c>
      <c r="N5" s="4" t="s">
        <v>1115</v>
      </c>
      <c r="P5" s="699" t="s">
        <v>87</v>
      </c>
    </row>
    <row r="6" spans="1:17" x14ac:dyDescent="0.2">
      <c r="A6" s="146" t="s">
        <v>691</v>
      </c>
      <c r="B6" s="169">
        <v>1</v>
      </c>
      <c r="C6" s="1489" t="str">
        <f>IF(COUNTIF(E6:H6,"-")&lt;2,MAX(0,E6:H6),"-")</f>
        <v>-</v>
      </c>
      <c r="D6" s="1490"/>
      <c r="E6" s="1491" t="str">
        <f>IF(E46&lt;&gt;"-",MAX(0,($C$17-$C$34-SUM($C$36))-(E46-E63-SUM(E65))),"-")</f>
        <v>-</v>
      </c>
      <c r="F6" s="1492"/>
      <c r="G6" s="1491" t="str">
        <f>IF(I46&lt;&gt;"-",MAX(0,($C$17-$C$34-SUM($C$36))-(I46-I63-SUM(I65))),"-")</f>
        <v>-</v>
      </c>
      <c r="H6" s="1492"/>
      <c r="L6" s="699" t="s">
        <v>87</v>
      </c>
      <c r="N6" s="4" t="s">
        <v>1116</v>
      </c>
      <c r="P6" s="699" t="s">
        <v>87</v>
      </c>
    </row>
    <row r="7" spans="1:17" x14ac:dyDescent="0.2">
      <c r="A7" s="150" t="s">
        <v>690</v>
      </c>
      <c r="B7" s="169">
        <v>2</v>
      </c>
      <c r="C7" s="1480" t="str">
        <f>IF(C8&lt;&gt;"-",SUM(INDEX(E7:H7,2*MATCH(C8,N5:N6,0)-1)),"-")</f>
        <v>-</v>
      </c>
      <c r="D7" s="1481"/>
      <c r="E7" s="1482" t="str">
        <f>IF(C46&lt;&gt;"-",MAX(0,($C$17-$C$34-SUM($C$36))-(C46-C63-SUM(C65))),"-")</f>
        <v>-</v>
      </c>
      <c r="F7" s="1483"/>
      <c r="G7" s="1482" t="str">
        <f>IF(G46&lt;&gt;"-",MAX(0,($C$17-$C$34-SUM($C$36))-(G46-G63-SUM(G65))),"-")</f>
        <v>-</v>
      </c>
      <c r="H7" s="1483"/>
      <c r="L7" s="699" t="s">
        <v>87</v>
      </c>
      <c r="P7" s="699" t="s">
        <v>87</v>
      </c>
    </row>
    <row r="8" spans="1:17" ht="14.25" x14ac:dyDescent="0.2">
      <c r="A8" s="940" t="s">
        <v>1062</v>
      </c>
      <c r="B8" s="162">
        <v>3</v>
      </c>
      <c r="C8" s="1484" t="str">
        <f>IF(C6="-","-",INDEX(N4:N6,1+IFERROR((1+MATCH(C6,E6:H6,0))/2,0)))</f>
        <v>-</v>
      </c>
      <c r="D8" s="1485"/>
      <c r="L8" s="699" t="s">
        <v>87</v>
      </c>
      <c r="N8" s="941"/>
      <c r="P8" s="699" t="s">
        <v>87</v>
      </c>
    </row>
    <row r="9" spans="1:17" x14ac:dyDescent="0.2">
      <c r="L9" s="699" t="s">
        <v>87</v>
      </c>
      <c r="N9" s="941"/>
      <c r="O9" s="941"/>
      <c r="P9" s="699" t="s">
        <v>87</v>
      </c>
      <c r="Q9" s="941"/>
    </row>
    <row r="10" spans="1:17" ht="14.25" x14ac:dyDescent="0.2">
      <c r="A10" s="707"/>
      <c r="B10" s="708"/>
      <c r="C10" s="942" t="s">
        <v>1117</v>
      </c>
      <c r="D10" s="331"/>
      <c r="E10" s="328" t="s">
        <v>1118</v>
      </c>
      <c r="F10" s="331"/>
      <c r="L10" s="699" t="s">
        <v>87</v>
      </c>
      <c r="N10" s="941"/>
      <c r="O10" s="941"/>
      <c r="P10" s="699" t="s">
        <v>87</v>
      </c>
      <c r="Q10" s="941"/>
    </row>
    <row r="11" spans="1:17" s="941" customFormat="1" ht="38.25" x14ac:dyDescent="0.2">
      <c r="A11" s="943" t="s">
        <v>1119</v>
      </c>
      <c r="B11" s="709"/>
      <c r="C11" s="278" t="s">
        <v>1120</v>
      </c>
      <c r="D11" s="944" t="s">
        <v>1121</v>
      </c>
      <c r="E11" s="278" t="s">
        <v>1120</v>
      </c>
      <c r="F11" s="944" t="s">
        <v>1121</v>
      </c>
      <c r="L11" s="699" t="s">
        <v>87</v>
      </c>
      <c r="P11" s="699" t="s">
        <v>87</v>
      </c>
    </row>
    <row r="12" spans="1:17" s="941" customFormat="1" ht="14.25" x14ac:dyDescent="0.2">
      <c r="A12" s="720"/>
      <c r="B12" s="124">
        <v>98</v>
      </c>
      <c r="C12" s="167">
        <v>1</v>
      </c>
      <c r="D12" s="167">
        <v>2</v>
      </c>
      <c r="E12" s="167">
        <v>3</v>
      </c>
      <c r="F12" s="214">
        <v>4</v>
      </c>
      <c r="L12" s="699" t="s">
        <v>87</v>
      </c>
      <c r="P12" s="699" t="s">
        <v>87</v>
      </c>
    </row>
    <row r="13" spans="1:17" ht="14.25" x14ac:dyDescent="0.2">
      <c r="A13" s="707" t="s">
        <v>1122</v>
      </c>
      <c r="B13" s="234">
        <v>1</v>
      </c>
      <c r="C13" s="149" t="s">
        <v>90</v>
      </c>
      <c r="D13" s="149" t="s">
        <v>90</v>
      </c>
      <c r="E13" s="149" t="s">
        <v>90</v>
      </c>
      <c r="F13" s="149" t="s">
        <v>90</v>
      </c>
      <c r="L13" s="699" t="s">
        <v>87</v>
      </c>
      <c r="N13" s="941"/>
      <c r="O13" s="941"/>
      <c r="P13" s="699" t="s">
        <v>87</v>
      </c>
      <c r="Q13" s="941"/>
    </row>
    <row r="14" spans="1:17" ht="14.25" x14ac:dyDescent="0.2">
      <c r="A14" s="720" t="s">
        <v>1123</v>
      </c>
      <c r="B14" s="234">
        <v>2</v>
      </c>
      <c r="C14" s="137" t="s">
        <v>90</v>
      </c>
      <c r="D14" s="137" t="s">
        <v>90</v>
      </c>
      <c r="E14" s="137" t="s">
        <v>90</v>
      </c>
      <c r="F14" s="137" t="s">
        <v>90</v>
      </c>
      <c r="L14" s="699" t="s">
        <v>87</v>
      </c>
      <c r="N14" s="941"/>
      <c r="O14" s="941"/>
      <c r="P14" s="699" t="s">
        <v>87</v>
      </c>
      <c r="Q14" s="941"/>
    </row>
    <row r="15" spans="1:17" x14ac:dyDescent="0.2">
      <c r="A15" s="112" t="s">
        <v>1124</v>
      </c>
      <c r="B15" s="945">
        <v>3</v>
      </c>
      <c r="C15" s="137" t="s">
        <v>90</v>
      </c>
      <c r="D15" s="137" t="s">
        <v>90</v>
      </c>
      <c r="E15" s="137" t="s">
        <v>90</v>
      </c>
      <c r="F15" s="137" t="s">
        <v>90</v>
      </c>
      <c r="L15" s="699" t="s">
        <v>87</v>
      </c>
      <c r="N15" s="941"/>
      <c r="O15" s="941"/>
      <c r="P15" s="699" t="s">
        <v>87</v>
      </c>
      <c r="Q15" s="941"/>
    </row>
    <row r="16" spans="1:17" x14ac:dyDescent="0.2">
      <c r="A16" s="146" t="s">
        <v>1125</v>
      </c>
      <c r="B16" s="234">
        <v>4</v>
      </c>
      <c r="C16" s="137" t="s">
        <v>90</v>
      </c>
      <c r="D16" s="137" t="s">
        <v>90</v>
      </c>
      <c r="E16" s="137" t="s">
        <v>90</v>
      </c>
      <c r="F16" s="137" t="s">
        <v>90</v>
      </c>
      <c r="L16" s="699" t="s">
        <v>87</v>
      </c>
      <c r="N16" s="941"/>
      <c r="O16" s="941"/>
      <c r="P16" s="699" t="s">
        <v>87</v>
      </c>
      <c r="Q16" s="941"/>
    </row>
    <row r="17" spans="1:17" ht="14.25" x14ac:dyDescent="0.2">
      <c r="A17" s="946" t="s">
        <v>1126</v>
      </c>
      <c r="B17" s="234">
        <v>5</v>
      </c>
      <c r="C17" s="1470">
        <f>SUM(C13:D16)</f>
        <v>0</v>
      </c>
      <c r="D17" s="1471"/>
      <c r="E17" s="1470" t="str">
        <f>IF(COUNTIF(E13:F16,"-")&lt;COUNTA(E13:F16),SUM(E13:F16),"-")</f>
        <v>-</v>
      </c>
      <c r="F17" s="1471"/>
      <c r="L17" s="699" t="s">
        <v>87</v>
      </c>
      <c r="N17" s="941"/>
      <c r="O17" s="941"/>
      <c r="P17" s="699" t="s">
        <v>87</v>
      </c>
      <c r="Q17" s="941"/>
    </row>
    <row r="18" spans="1:17" ht="15" x14ac:dyDescent="0.25">
      <c r="A18" s="317" t="s">
        <v>262</v>
      </c>
      <c r="B18" s="234"/>
      <c r="C18" s="947"/>
      <c r="D18" s="948"/>
      <c r="E18" s="948"/>
      <c r="F18" s="949"/>
      <c r="L18" s="699" t="s">
        <v>87</v>
      </c>
      <c r="N18" s="941"/>
      <c r="O18" s="941"/>
      <c r="P18" s="699" t="s">
        <v>87</v>
      </c>
      <c r="Q18" s="941"/>
    </row>
    <row r="19" spans="1:17" x14ac:dyDescent="0.2">
      <c r="A19" s="272" t="s">
        <v>263</v>
      </c>
      <c r="B19" s="234">
        <v>6</v>
      </c>
      <c r="C19" s="1478">
        <f>SUM('ICS.Balance sheet'!E116)</f>
        <v>0</v>
      </c>
      <c r="D19" s="1479"/>
      <c r="E19" s="1474" t="s">
        <v>90</v>
      </c>
      <c r="F19" s="1475"/>
      <c r="L19" s="699" t="s">
        <v>87</v>
      </c>
      <c r="N19" s="941"/>
      <c r="O19" s="941"/>
      <c r="P19" s="699" t="s">
        <v>87</v>
      </c>
      <c r="Q19" s="941"/>
    </row>
    <row r="20" spans="1:17" x14ac:dyDescent="0.2">
      <c r="A20" s="272" t="s">
        <v>264</v>
      </c>
      <c r="B20" s="234">
        <v>7</v>
      </c>
      <c r="C20" s="1478">
        <f>SUM('ICS.Balance sheet'!E117)</f>
        <v>0</v>
      </c>
      <c r="D20" s="1479"/>
      <c r="E20" s="1474" t="s">
        <v>90</v>
      </c>
      <c r="F20" s="1475"/>
      <c r="L20" s="699" t="s">
        <v>87</v>
      </c>
      <c r="N20" s="941"/>
      <c r="O20" s="941"/>
      <c r="P20" s="699" t="s">
        <v>87</v>
      </c>
      <c r="Q20" s="941"/>
    </row>
    <row r="21" spans="1:17" x14ac:dyDescent="0.2">
      <c r="A21" s="272" t="s">
        <v>265</v>
      </c>
      <c r="B21" s="234">
        <v>8</v>
      </c>
      <c r="C21" s="1478">
        <f>SUM('ICS.Balance sheet'!E118)</f>
        <v>0</v>
      </c>
      <c r="D21" s="1479"/>
      <c r="E21" s="1474" t="s">
        <v>90</v>
      </c>
      <c r="F21" s="1475"/>
      <c r="L21" s="699" t="s">
        <v>87</v>
      </c>
      <c r="N21" s="941"/>
      <c r="O21" s="941"/>
      <c r="P21" s="699" t="s">
        <v>87</v>
      </c>
      <c r="Q21" s="941"/>
    </row>
    <row r="22" spans="1:17" x14ac:dyDescent="0.2">
      <c r="A22" s="272" t="s">
        <v>266</v>
      </c>
      <c r="B22" s="234">
        <v>9</v>
      </c>
      <c r="C22" s="1478">
        <f>SUM('ICS.Balance sheet'!E119)</f>
        <v>0</v>
      </c>
      <c r="D22" s="1479"/>
      <c r="E22" s="1474" t="s">
        <v>90</v>
      </c>
      <c r="F22" s="1475"/>
      <c r="L22" s="699" t="s">
        <v>87</v>
      </c>
      <c r="N22" s="941"/>
      <c r="O22" s="941"/>
      <c r="P22" s="699" t="s">
        <v>87</v>
      </c>
      <c r="Q22" s="941"/>
    </row>
    <row r="23" spans="1:17" x14ac:dyDescent="0.2">
      <c r="A23" s="272" t="s">
        <v>188</v>
      </c>
      <c r="B23" s="234">
        <v>10</v>
      </c>
      <c r="C23" s="1478">
        <f>SUM('ICS.Balance sheet'!E120)</f>
        <v>0</v>
      </c>
      <c r="D23" s="1479"/>
      <c r="E23" s="1474" t="s">
        <v>90</v>
      </c>
      <c r="F23" s="1475"/>
      <c r="L23" s="699" t="s">
        <v>87</v>
      </c>
      <c r="N23" s="941"/>
      <c r="O23" s="941"/>
      <c r="P23" s="699" t="s">
        <v>87</v>
      </c>
      <c r="Q23" s="941"/>
    </row>
    <row r="24" spans="1:17" x14ac:dyDescent="0.2">
      <c r="A24" s="272" t="s">
        <v>186</v>
      </c>
      <c r="B24" s="234">
        <v>11</v>
      </c>
      <c r="C24" s="1478">
        <f>SUM('ICS.Balance sheet'!E121)</f>
        <v>0</v>
      </c>
      <c r="D24" s="1479"/>
      <c r="E24" s="1474" t="s">
        <v>90</v>
      </c>
      <c r="F24" s="1475"/>
      <c r="L24" s="699" t="s">
        <v>87</v>
      </c>
      <c r="N24" s="941"/>
      <c r="O24" s="941"/>
      <c r="P24" s="699" t="s">
        <v>87</v>
      </c>
      <c r="Q24" s="941"/>
    </row>
    <row r="25" spans="1:17" x14ac:dyDescent="0.2">
      <c r="A25" s="272" t="s">
        <v>267</v>
      </c>
      <c r="B25" s="234">
        <v>12</v>
      </c>
      <c r="C25" s="1478">
        <f>SUM('ICS.Balance sheet'!E122)</f>
        <v>0</v>
      </c>
      <c r="D25" s="1479"/>
      <c r="E25" s="1474" t="s">
        <v>90</v>
      </c>
      <c r="F25" s="1475"/>
      <c r="L25" s="699" t="s">
        <v>87</v>
      </c>
      <c r="N25" s="941"/>
      <c r="O25" s="941"/>
      <c r="P25" s="699" t="s">
        <v>87</v>
      </c>
      <c r="Q25" s="941"/>
    </row>
    <row r="26" spans="1:17" ht="15" x14ac:dyDescent="0.25">
      <c r="A26" s="317" t="s">
        <v>268</v>
      </c>
      <c r="B26" s="234"/>
      <c r="C26" s="950"/>
      <c r="D26" s="951"/>
      <c r="E26" s="951"/>
      <c r="F26" s="952"/>
      <c r="L26" s="699" t="s">
        <v>87</v>
      </c>
      <c r="N26" s="941"/>
      <c r="O26" s="941"/>
      <c r="P26" s="699" t="s">
        <v>87</v>
      </c>
      <c r="Q26" s="941"/>
    </row>
    <row r="27" spans="1:17" x14ac:dyDescent="0.2">
      <c r="A27" s="272" t="s">
        <v>269</v>
      </c>
      <c r="B27" s="234">
        <v>13</v>
      </c>
      <c r="C27" s="1478">
        <f>SUM('ICS.Balance sheet'!E124)</f>
        <v>0</v>
      </c>
      <c r="D27" s="1479"/>
      <c r="E27" s="1474" t="s">
        <v>90</v>
      </c>
      <c r="F27" s="1475"/>
      <c r="L27" s="699" t="s">
        <v>87</v>
      </c>
      <c r="N27" s="941"/>
      <c r="O27" s="941"/>
      <c r="P27" s="699" t="s">
        <v>87</v>
      </c>
      <c r="Q27" s="941"/>
    </row>
    <row r="28" spans="1:17" x14ac:dyDescent="0.2">
      <c r="A28" s="319" t="s">
        <v>270</v>
      </c>
      <c r="B28" s="234">
        <v>14</v>
      </c>
      <c r="C28" s="1478">
        <f>SUM('ICS.Balance sheet'!E125)</f>
        <v>0</v>
      </c>
      <c r="D28" s="1479"/>
      <c r="E28" s="1474" t="s">
        <v>90</v>
      </c>
      <c r="F28" s="1475"/>
      <c r="L28" s="699" t="s">
        <v>87</v>
      </c>
      <c r="N28" s="941"/>
      <c r="O28" s="941"/>
      <c r="P28" s="699" t="s">
        <v>87</v>
      </c>
      <c r="Q28" s="941"/>
    </row>
    <row r="29" spans="1:17" x14ac:dyDescent="0.2">
      <c r="A29" s="319" t="s">
        <v>271</v>
      </c>
      <c r="B29" s="234">
        <v>15</v>
      </c>
      <c r="C29" s="1478">
        <f>SUM('ICS.Balance sheet'!E126)</f>
        <v>0</v>
      </c>
      <c r="D29" s="1479"/>
      <c r="E29" s="1474" t="s">
        <v>90</v>
      </c>
      <c r="F29" s="1475"/>
      <c r="L29" s="699" t="s">
        <v>87</v>
      </c>
      <c r="N29" s="941"/>
      <c r="O29" s="941"/>
      <c r="P29" s="699" t="s">
        <v>87</v>
      </c>
      <c r="Q29" s="941"/>
    </row>
    <row r="30" spans="1:17" x14ac:dyDescent="0.2">
      <c r="A30" s="272" t="s">
        <v>272</v>
      </c>
      <c r="B30" s="234">
        <v>16</v>
      </c>
      <c r="C30" s="1478">
        <f>SUM('ICS.Balance sheet'!E127)</f>
        <v>0</v>
      </c>
      <c r="D30" s="1479"/>
      <c r="E30" s="1474" t="s">
        <v>90</v>
      </c>
      <c r="F30" s="1475"/>
      <c r="L30" s="699" t="s">
        <v>87</v>
      </c>
      <c r="N30" s="941"/>
      <c r="O30" s="941"/>
      <c r="P30" s="699" t="s">
        <v>87</v>
      </c>
      <c r="Q30" s="941"/>
    </row>
    <row r="31" spans="1:17" x14ac:dyDescent="0.2">
      <c r="A31" s="272" t="s">
        <v>273</v>
      </c>
      <c r="B31" s="234">
        <v>17</v>
      </c>
      <c r="C31" s="1478">
        <f>SUM('ICS.Balance sheet'!E128)</f>
        <v>0</v>
      </c>
      <c r="D31" s="1479"/>
      <c r="E31" s="1474" t="s">
        <v>90</v>
      </c>
      <c r="F31" s="1475"/>
      <c r="L31" s="699" t="s">
        <v>87</v>
      </c>
      <c r="N31" s="941"/>
      <c r="O31" s="941"/>
      <c r="P31" s="699" t="s">
        <v>87</v>
      </c>
      <c r="Q31" s="941"/>
    </row>
    <row r="32" spans="1:17" x14ac:dyDescent="0.2">
      <c r="A32" s="272" t="s">
        <v>274</v>
      </c>
      <c r="B32" s="234">
        <v>18</v>
      </c>
      <c r="C32" s="1478">
        <f>SUM('ICS.Balance sheet'!E129)</f>
        <v>0</v>
      </c>
      <c r="D32" s="1479"/>
      <c r="E32" s="1474" t="s">
        <v>90</v>
      </c>
      <c r="F32" s="1475"/>
      <c r="L32" s="699" t="s">
        <v>87</v>
      </c>
      <c r="N32" s="941"/>
      <c r="O32" s="941"/>
      <c r="P32" s="699" t="s">
        <v>87</v>
      </c>
      <c r="Q32" s="941"/>
    </row>
    <row r="33" spans="1:17" ht="14.25" x14ac:dyDescent="0.2">
      <c r="A33" s="317" t="s">
        <v>275</v>
      </c>
      <c r="B33" s="234">
        <v>19</v>
      </c>
      <c r="C33" s="1478">
        <f>SUM('ICS.Balance sheet'!E130)</f>
        <v>0</v>
      </c>
      <c r="D33" s="1479"/>
      <c r="E33" s="1476" t="s">
        <v>90</v>
      </c>
      <c r="F33" s="1477"/>
      <c r="L33" s="699" t="s">
        <v>87</v>
      </c>
      <c r="N33" s="941"/>
      <c r="O33" s="941"/>
      <c r="P33" s="699" t="s">
        <v>87</v>
      </c>
      <c r="Q33" s="941"/>
    </row>
    <row r="34" spans="1:17" ht="14.25" x14ac:dyDescent="0.2">
      <c r="A34" s="946" t="s">
        <v>1127</v>
      </c>
      <c r="B34" s="234">
        <v>20</v>
      </c>
      <c r="C34" s="1470">
        <f>SUM(C19:D27,C30:D33)</f>
        <v>0</v>
      </c>
      <c r="D34" s="1471"/>
      <c r="E34" s="1470">
        <f>SUM(E19:F27,E30:F33)</f>
        <v>0</v>
      </c>
      <c r="F34" s="1471"/>
      <c r="L34" s="699" t="s">
        <v>87</v>
      </c>
      <c r="N34" s="941"/>
      <c r="O34" s="941"/>
      <c r="P34" s="699" t="s">
        <v>87</v>
      </c>
      <c r="Q34" s="941"/>
    </row>
    <row r="35" spans="1:17" x14ac:dyDescent="0.2">
      <c r="A35" s="145"/>
      <c r="B35" s="234"/>
      <c r="C35" s="145"/>
      <c r="D35" s="230"/>
      <c r="E35" s="230"/>
      <c r="F35" s="111"/>
      <c r="L35" s="699" t="s">
        <v>87</v>
      </c>
      <c r="N35" s="941"/>
      <c r="O35" s="941"/>
      <c r="P35" s="699" t="s">
        <v>87</v>
      </c>
      <c r="Q35" s="941"/>
    </row>
    <row r="36" spans="1:17" ht="14.25" x14ac:dyDescent="0.2">
      <c r="A36" s="946" t="s">
        <v>1128</v>
      </c>
      <c r="B36" s="261">
        <v>21</v>
      </c>
      <c r="C36" s="1472" t="s">
        <v>90</v>
      </c>
      <c r="D36" s="1473"/>
      <c r="E36" s="1472" t="s">
        <v>90</v>
      </c>
      <c r="F36" s="1473"/>
      <c r="L36" s="699" t="s">
        <v>87</v>
      </c>
      <c r="N36" s="941"/>
      <c r="O36" s="941"/>
      <c r="P36" s="699" t="s">
        <v>87</v>
      </c>
      <c r="Q36" s="941"/>
    </row>
    <row r="37" spans="1:17" x14ac:dyDescent="0.2">
      <c r="L37" s="699" t="s">
        <v>87</v>
      </c>
      <c r="N37" s="941"/>
      <c r="O37" s="941"/>
      <c r="P37" s="699" t="s">
        <v>87</v>
      </c>
      <c r="Q37" s="941"/>
    </row>
    <row r="38" spans="1:17" x14ac:dyDescent="0.2">
      <c r="C38" s="328" t="s">
        <v>1129</v>
      </c>
      <c r="D38" s="953"/>
      <c r="E38" s="953"/>
      <c r="F38" s="331"/>
      <c r="G38" s="328" t="s">
        <v>1130</v>
      </c>
      <c r="H38" s="953"/>
      <c r="I38" s="953"/>
      <c r="J38" s="331"/>
      <c r="L38" s="699" t="s">
        <v>87</v>
      </c>
      <c r="P38" s="699" t="s">
        <v>87</v>
      </c>
    </row>
    <row r="39" spans="1:17" x14ac:dyDescent="0.2">
      <c r="C39" s="954" t="s">
        <v>690</v>
      </c>
      <c r="D39" s="955"/>
      <c r="E39" s="954" t="s">
        <v>691</v>
      </c>
      <c r="F39" s="955"/>
      <c r="G39" s="328" t="s">
        <v>690</v>
      </c>
      <c r="H39" s="331"/>
      <c r="I39" s="328" t="s">
        <v>691</v>
      </c>
      <c r="J39" s="331"/>
      <c r="L39" s="699" t="s">
        <v>87</v>
      </c>
      <c r="P39" s="699" t="s">
        <v>87</v>
      </c>
    </row>
    <row r="40" spans="1:17" ht="37.5" customHeight="1" x14ac:dyDescent="0.2">
      <c r="A40" s="93" t="s">
        <v>1131</v>
      </c>
      <c r="B40" s="708"/>
      <c r="C40" s="655" t="s">
        <v>1120</v>
      </c>
      <c r="D40" s="956" t="s">
        <v>1121</v>
      </c>
      <c r="E40" s="655" t="s">
        <v>1120</v>
      </c>
      <c r="F40" s="956" t="s">
        <v>1121</v>
      </c>
      <c r="G40" s="655" t="s">
        <v>1120</v>
      </c>
      <c r="H40" s="956" t="s">
        <v>1121</v>
      </c>
      <c r="I40" s="655" t="s">
        <v>1120</v>
      </c>
      <c r="J40" s="655" t="s">
        <v>1121</v>
      </c>
      <c r="L40" s="699" t="s">
        <v>87</v>
      </c>
      <c r="P40" s="699" t="s">
        <v>87</v>
      </c>
    </row>
    <row r="41" spans="1:17" ht="14.25" x14ac:dyDescent="0.2">
      <c r="A41" s="720"/>
      <c r="B41" s="124">
        <v>99</v>
      </c>
      <c r="C41" s="167">
        <v>1</v>
      </c>
      <c r="D41" s="167">
        <v>2</v>
      </c>
      <c r="E41" s="167">
        <v>3</v>
      </c>
      <c r="F41" s="167">
        <v>4</v>
      </c>
      <c r="G41" s="167">
        <v>5</v>
      </c>
      <c r="H41" s="167">
        <v>6</v>
      </c>
      <c r="I41" s="167">
        <v>7</v>
      </c>
      <c r="J41" s="214">
        <v>8</v>
      </c>
      <c r="L41" s="699" t="s">
        <v>87</v>
      </c>
      <c r="P41" s="699" t="s">
        <v>87</v>
      </c>
    </row>
    <row r="42" spans="1:17" ht="14.25" x14ac:dyDescent="0.2">
      <c r="A42" s="707" t="s">
        <v>1122</v>
      </c>
      <c r="B42" s="234">
        <v>1</v>
      </c>
      <c r="C42" s="149" t="s">
        <v>90</v>
      </c>
      <c r="D42" s="149" t="s">
        <v>90</v>
      </c>
      <c r="E42" s="149" t="s">
        <v>90</v>
      </c>
      <c r="F42" s="149" t="s">
        <v>90</v>
      </c>
      <c r="G42" s="149" t="s">
        <v>90</v>
      </c>
      <c r="H42" s="149" t="s">
        <v>90</v>
      </c>
      <c r="I42" s="149" t="s">
        <v>90</v>
      </c>
      <c r="J42" s="149" t="s">
        <v>90</v>
      </c>
      <c r="L42" s="699" t="s">
        <v>87</v>
      </c>
      <c r="P42" s="699" t="s">
        <v>87</v>
      </c>
    </row>
    <row r="43" spans="1:17" ht="14.25" customHeight="1" x14ac:dyDescent="0.2">
      <c r="A43" s="720" t="s">
        <v>1123</v>
      </c>
      <c r="B43" s="234">
        <v>2</v>
      </c>
      <c r="C43" s="137" t="s">
        <v>90</v>
      </c>
      <c r="D43" s="137" t="s">
        <v>90</v>
      </c>
      <c r="E43" s="137" t="s">
        <v>90</v>
      </c>
      <c r="F43" s="137" t="s">
        <v>90</v>
      </c>
      <c r="G43" s="137" t="s">
        <v>90</v>
      </c>
      <c r="H43" s="137" t="s">
        <v>90</v>
      </c>
      <c r="I43" s="137" t="s">
        <v>90</v>
      </c>
      <c r="J43" s="137" t="s">
        <v>90</v>
      </c>
      <c r="L43" s="699" t="s">
        <v>87</v>
      </c>
      <c r="P43" s="699" t="s">
        <v>87</v>
      </c>
    </row>
    <row r="44" spans="1:17" ht="14.25" customHeight="1" x14ac:dyDescent="0.2">
      <c r="A44" s="112" t="s">
        <v>1124</v>
      </c>
      <c r="B44" s="234">
        <v>3</v>
      </c>
      <c r="C44" s="137" t="s">
        <v>90</v>
      </c>
      <c r="D44" s="137" t="s">
        <v>90</v>
      </c>
      <c r="E44" s="137" t="s">
        <v>90</v>
      </c>
      <c r="F44" s="137" t="s">
        <v>90</v>
      </c>
      <c r="G44" s="137" t="s">
        <v>90</v>
      </c>
      <c r="H44" s="137" t="s">
        <v>90</v>
      </c>
      <c r="I44" s="137" t="s">
        <v>90</v>
      </c>
      <c r="J44" s="137" t="s">
        <v>90</v>
      </c>
      <c r="L44" s="699" t="s">
        <v>87</v>
      </c>
      <c r="P44" s="699" t="s">
        <v>87</v>
      </c>
    </row>
    <row r="45" spans="1:17" x14ac:dyDescent="0.2">
      <c r="A45" s="146" t="s">
        <v>1125</v>
      </c>
      <c r="B45" s="234">
        <v>4</v>
      </c>
      <c r="C45" s="137" t="s">
        <v>90</v>
      </c>
      <c r="D45" s="137" t="s">
        <v>90</v>
      </c>
      <c r="E45" s="137" t="s">
        <v>90</v>
      </c>
      <c r="F45" s="137" t="s">
        <v>90</v>
      </c>
      <c r="G45" s="137" t="s">
        <v>90</v>
      </c>
      <c r="H45" s="137" t="s">
        <v>90</v>
      </c>
      <c r="I45" s="137" t="s">
        <v>90</v>
      </c>
      <c r="J45" s="137" t="s">
        <v>90</v>
      </c>
      <c r="L45" s="699" t="s">
        <v>87</v>
      </c>
      <c r="P45" s="699" t="s">
        <v>87</v>
      </c>
    </row>
    <row r="46" spans="1:17" ht="14.25" x14ac:dyDescent="0.2">
      <c r="A46" s="946" t="s">
        <v>1126</v>
      </c>
      <c r="B46" s="234">
        <v>5</v>
      </c>
      <c r="C46" s="1470" t="str">
        <f>IF(COUNTIF(C42:D45,"-")&lt;COUNTA(C42:D45),SUM(C42:D45),"-")</f>
        <v>-</v>
      </c>
      <c r="D46" s="1471"/>
      <c r="E46" s="1470" t="str">
        <f>IF(COUNTIF(E42:F45,"-")&lt;COUNTA(E42:F45),SUM(E42:F45),"-")</f>
        <v>-</v>
      </c>
      <c r="F46" s="1471"/>
      <c r="G46" s="1470" t="str">
        <f>IF(COUNTIF(G42:H45,"-")&lt;COUNTA(G42:H45),SUM(G42:H45),"-")</f>
        <v>-</v>
      </c>
      <c r="H46" s="1471"/>
      <c r="I46" s="1470" t="str">
        <f>IF(COUNTIF(I42:J45,"-")&lt;COUNTA(I42:J45),SUM(I42:J45),"-")</f>
        <v>-</v>
      </c>
      <c r="J46" s="1471"/>
      <c r="L46" s="699" t="s">
        <v>87</v>
      </c>
      <c r="P46" s="699" t="s">
        <v>87</v>
      </c>
    </row>
    <row r="47" spans="1:17" ht="15" x14ac:dyDescent="0.25">
      <c r="A47" s="317" t="s">
        <v>262</v>
      </c>
      <c r="B47" s="234"/>
      <c r="C47" s="947"/>
      <c r="D47" s="948"/>
      <c r="E47" s="948"/>
      <c r="F47" s="948"/>
      <c r="G47" s="948"/>
      <c r="H47" s="948"/>
      <c r="I47" s="948"/>
      <c r="J47" s="949"/>
      <c r="L47" s="699" t="s">
        <v>87</v>
      </c>
      <c r="P47" s="699" t="s">
        <v>87</v>
      </c>
    </row>
    <row r="48" spans="1:17" x14ac:dyDescent="0.2">
      <c r="A48" s="272" t="s">
        <v>263</v>
      </c>
      <c r="B48" s="234">
        <v>6</v>
      </c>
      <c r="C48" s="1474" t="s">
        <v>90</v>
      </c>
      <c r="D48" s="1475"/>
      <c r="E48" s="1474" t="s">
        <v>90</v>
      </c>
      <c r="F48" s="1475"/>
      <c r="G48" s="1474" t="s">
        <v>90</v>
      </c>
      <c r="H48" s="1475"/>
      <c r="I48" s="1474" t="s">
        <v>90</v>
      </c>
      <c r="J48" s="1475"/>
      <c r="L48" s="699" t="s">
        <v>87</v>
      </c>
      <c r="P48" s="699" t="s">
        <v>87</v>
      </c>
    </row>
    <row r="49" spans="1:16" x14ac:dyDescent="0.2">
      <c r="A49" s="272" t="s">
        <v>264</v>
      </c>
      <c r="B49" s="234">
        <v>7</v>
      </c>
      <c r="C49" s="1474" t="s">
        <v>90</v>
      </c>
      <c r="D49" s="1475"/>
      <c r="E49" s="1474" t="s">
        <v>90</v>
      </c>
      <c r="F49" s="1475"/>
      <c r="G49" s="1474" t="s">
        <v>90</v>
      </c>
      <c r="H49" s="1475"/>
      <c r="I49" s="1474" t="s">
        <v>90</v>
      </c>
      <c r="J49" s="1475"/>
      <c r="L49" s="699" t="s">
        <v>87</v>
      </c>
      <c r="P49" s="699" t="s">
        <v>87</v>
      </c>
    </row>
    <row r="50" spans="1:16" x14ac:dyDescent="0.2">
      <c r="A50" s="272" t="s">
        <v>265</v>
      </c>
      <c r="B50" s="234">
        <v>8</v>
      </c>
      <c r="C50" s="1474" t="s">
        <v>90</v>
      </c>
      <c r="D50" s="1475"/>
      <c r="E50" s="1474" t="s">
        <v>90</v>
      </c>
      <c r="F50" s="1475"/>
      <c r="G50" s="1474" t="s">
        <v>90</v>
      </c>
      <c r="H50" s="1475"/>
      <c r="I50" s="1474" t="s">
        <v>90</v>
      </c>
      <c r="J50" s="1475"/>
      <c r="L50" s="699" t="s">
        <v>87</v>
      </c>
      <c r="P50" s="699" t="s">
        <v>87</v>
      </c>
    </row>
    <row r="51" spans="1:16" x14ac:dyDescent="0.2">
      <c r="A51" s="272" t="s">
        <v>266</v>
      </c>
      <c r="B51" s="234">
        <v>9</v>
      </c>
      <c r="C51" s="1474" t="s">
        <v>90</v>
      </c>
      <c r="D51" s="1475"/>
      <c r="E51" s="1474" t="s">
        <v>90</v>
      </c>
      <c r="F51" s="1475"/>
      <c r="G51" s="1474" t="s">
        <v>90</v>
      </c>
      <c r="H51" s="1475"/>
      <c r="I51" s="1474" t="s">
        <v>90</v>
      </c>
      <c r="J51" s="1475"/>
      <c r="L51" s="699" t="s">
        <v>87</v>
      </c>
      <c r="P51" s="699" t="s">
        <v>87</v>
      </c>
    </row>
    <row r="52" spans="1:16" x14ac:dyDescent="0.2">
      <c r="A52" s="272" t="s">
        <v>188</v>
      </c>
      <c r="B52" s="234">
        <v>10</v>
      </c>
      <c r="C52" s="1474" t="s">
        <v>90</v>
      </c>
      <c r="D52" s="1475"/>
      <c r="E52" s="1474" t="s">
        <v>90</v>
      </c>
      <c r="F52" s="1475"/>
      <c r="G52" s="1474" t="s">
        <v>90</v>
      </c>
      <c r="H52" s="1475"/>
      <c r="I52" s="1474" t="s">
        <v>90</v>
      </c>
      <c r="J52" s="1475"/>
      <c r="L52" s="699" t="s">
        <v>87</v>
      </c>
      <c r="P52" s="699" t="s">
        <v>87</v>
      </c>
    </row>
    <row r="53" spans="1:16" x14ac:dyDescent="0.2">
      <c r="A53" s="272" t="s">
        <v>186</v>
      </c>
      <c r="B53" s="234">
        <v>11</v>
      </c>
      <c r="C53" s="1474" t="s">
        <v>90</v>
      </c>
      <c r="D53" s="1475"/>
      <c r="E53" s="1474" t="s">
        <v>90</v>
      </c>
      <c r="F53" s="1475"/>
      <c r="G53" s="1474" t="s">
        <v>90</v>
      </c>
      <c r="H53" s="1475"/>
      <c r="I53" s="1474" t="s">
        <v>90</v>
      </c>
      <c r="J53" s="1475"/>
      <c r="L53" s="699" t="s">
        <v>87</v>
      </c>
      <c r="P53" s="699" t="s">
        <v>87</v>
      </c>
    </row>
    <row r="54" spans="1:16" x14ac:dyDescent="0.2">
      <c r="A54" s="272" t="s">
        <v>267</v>
      </c>
      <c r="B54" s="234">
        <v>12</v>
      </c>
      <c r="C54" s="1474" t="s">
        <v>90</v>
      </c>
      <c r="D54" s="1475"/>
      <c r="E54" s="1474" t="s">
        <v>90</v>
      </c>
      <c r="F54" s="1475"/>
      <c r="G54" s="1474" t="s">
        <v>90</v>
      </c>
      <c r="H54" s="1475"/>
      <c r="I54" s="1474" t="s">
        <v>90</v>
      </c>
      <c r="J54" s="1475"/>
      <c r="L54" s="699" t="s">
        <v>87</v>
      </c>
      <c r="P54" s="699" t="s">
        <v>87</v>
      </c>
    </row>
    <row r="55" spans="1:16" ht="15" x14ac:dyDescent="0.25">
      <c r="A55" s="317" t="s">
        <v>268</v>
      </c>
      <c r="B55" s="234"/>
      <c r="C55" s="950"/>
      <c r="D55" s="951"/>
      <c r="E55" s="951"/>
      <c r="F55" s="952"/>
      <c r="G55" s="950"/>
      <c r="H55" s="951"/>
      <c r="I55" s="951"/>
      <c r="J55" s="952"/>
      <c r="L55" s="699" t="s">
        <v>87</v>
      </c>
      <c r="P55" s="699" t="s">
        <v>87</v>
      </c>
    </row>
    <row r="56" spans="1:16" x14ac:dyDescent="0.2">
      <c r="A56" s="272" t="s">
        <v>269</v>
      </c>
      <c r="B56" s="234">
        <v>13</v>
      </c>
      <c r="C56" s="1474" t="s">
        <v>90</v>
      </c>
      <c r="D56" s="1475"/>
      <c r="E56" s="1474" t="s">
        <v>90</v>
      </c>
      <c r="F56" s="1475"/>
      <c r="G56" s="1474" t="s">
        <v>90</v>
      </c>
      <c r="H56" s="1475"/>
      <c r="I56" s="1474" t="s">
        <v>90</v>
      </c>
      <c r="J56" s="1475"/>
      <c r="L56" s="699" t="s">
        <v>87</v>
      </c>
      <c r="P56" s="699" t="s">
        <v>87</v>
      </c>
    </row>
    <row r="57" spans="1:16" x14ac:dyDescent="0.2">
      <c r="A57" s="319" t="s">
        <v>270</v>
      </c>
      <c r="B57" s="234">
        <v>14</v>
      </c>
      <c r="C57" s="1474" t="s">
        <v>90</v>
      </c>
      <c r="D57" s="1475"/>
      <c r="E57" s="1474" t="s">
        <v>90</v>
      </c>
      <c r="F57" s="1475"/>
      <c r="G57" s="1474" t="s">
        <v>90</v>
      </c>
      <c r="H57" s="1475"/>
      <c r="I57" s="1474" t="s">
        <v>90</v>
      </c>
      <c r="J57" s="1475"/>
      <c r="L57" s="699" t="s">
        <v>87</v>
      </c>
      <c r="P57" s="699" t="s">
        <v>87</v>
      </c>
    </row>
    <row r="58" spans="1:16" x14ac:dyDescent="0.2">
      <c r="A58" s="319" t="s">
        <v>271</v>
      </c>
      <c r="B58" s="234">
        <v>15</v>
      </c>
      <c r="C58" s="1474" t="s">
        <v>90</v>
      </c>
      <c r="D58" s="1475"/>
      <c r="E58" s="1474" t="s">
        <v>90</v>
      </c>
      <c r="F58" s="1475"/>
      <c r="G58" s="1474" t="s">
        <v>90</v>
      </c>
      <c r="H58" s="1475"/>
      <c r="I58" s="1474" t="s">
        <v>90</v>
      </c>
      <c r="J58" s="1475"/>
      <c r="L58" s="699" t="s">
        <v>87</v>
      </c>
      <c r="P58" s="699" t="s">
        <v>87</v>
      </c>
    </row>
    <row r="59" spans="1:16" x14ac:dyDescent="0.2">
      <c r="A59" s="272" t="s">
        <v>272</v>
      </c>
      <c r="B59" s="234">
        <v>16</v>
      </c>
      <c r="C59" s="1474" t="s">
        <v>90</v>
      </c>
      <c r="D59" s="1475"/>
      <c r="E59" s="1474" t="s">
        <v>90</v>
      </c>
      <c r="F59" s="1475"/>
      <c r="G59" s="1474" t="s">
        <v>90</v>
      </c>
      <c r="H59" s="1475"/>
      <c r="I59" s="1474" t="s">
        <v>90</v>
      </c>
      <c r="J59" s="1475"/>
      <c r="L59" s="699" t="s">
        <v>87</v>
      </c>
      <c r="P59" s="699" t="s">
        <v>87</v>
      </c>
    </row>
    <row r="60" spans="1:16" x14ac:dyDescent="0.2">
      <c r="A60" s="272" t="s">
        <v>273</v>
      </c>
      <c r="B60" s="234">
        <v>17</v>
      </c>
      <c r="C60" s="1474" t="s">
        <v>90</v>
      </c>
      <c r="D60" s="1475"/>
      <c r="E60" s="1474" t="s">
        <v>90</v>
      </c>
      <c r="F60" s="1475"/>
      <c r="G60" s="1474" t="s">
        <v>90</v>
      </c>
      <c r="H60" s="1475"/>
      <c r="I60" s="1474" t="s">
        <v>90</v>
      </c>
      <c r="J60" s="1475"/>
      <c r="L60" s="699" t="s">
        <v>87</v>
      </c>
      <c r="P60" s="699" t="s">
        <v>87</v>
      </c>
    </row>
    <row r="61" spans="1:16" x14ac:dyDescent="0.2">
      <c r="A61" s="272" t="s">
        <v>274</v>
      </c>
      <c r="B61" s="234">
        <v>18</v>
      </c>
      <c r="C61" s="1474" t="s">
        <v>90</v>
      </c>
      <c r="D61" s="1475"/>
      <c r="E61" s="1474" t="s">
        <v>90</v>
      </c>
      <c r="F61" s="1475"/>
      <c r="G61" s="1474" t="s">
        <v>90</v>
      </c>
      <c r="H61" s="1475"/>
      <c r="I61" s="1474" t="s">
        <v>90</v>
      </c>
      <c r="J61" s="1475"/>
      <c r="L61" s="699" t="s">
        <v>87</v>
      </c>
      <c r="P61" s="699" t="s">
        <v>87</v>
      </c>
    </row>
    <row r="62" spans="1:16" ht="14.25" x14ac:dyDescent="0.2">
      <c r="A62" s="317" t="s">
        <v>275</v>
      </c>
      <c r="B62" s="234">
        <v>19</v>
      </c>
      <c r="C62" s="1476" t="s">
        <v>90</v>
      </c>
      <c r="D62" s="1477"/>
      <c r="E62" s="1476" t="s">
        <v>90</v>
      </c>
      <c r="F62" s="1477"/>
      <c r="G62" s="1476" t="s">
        <v>90</v>
      </c>
      <c r="H62" s="1477"/>
      <c r="I62" s="1476" t="s">
        <v>90</v>
      </c>
      <c r="J62" s="1477"/>
      <c r="L62" s="699" t="s">
        <v>87</v>
      </c>
      <c r="P62" s="699" t="s">
        <v>87</v>
      </c>
    </row>
    <row r="63" spans="1:16" ht="14.25" x14ac:dyDescent="0.2">
      <c r="A63" s="946" t="s">
        <v>1127</v>
      </c>
      <c r="B63" s="234">
        <v>20</v>
      </c>
      <c r="C63" s="1470">
        <f>SUM(C48:D56,C59:D62)</f>
        <v>0</v>
      </c>
      <c r="D63" s="1471"/>
      <c r="E63" s="1470">
        <f>SUM(E48:F56,E59:F62)</f>
        <v>0</v>
      </c>
      <c r="F63" s="1471"/>
      <c r="G63" s="1470">
        <f>SUM(G48:H56,G59:H62)</f>
        <v>0</v>
      </c>
      <c r="H63" s="1471"/>
      <c r="I63" s="1470">
        <f>SUM(I48:J56,I59:J62)</f>
        <v>0</v>
      </c>
      <c r="J63" s="1471"/>
      <c r="L63" s="699" t="s">
        <v>87</v>
      </c>
      <c r="P63" s="699" t="s">
        <v>87</v>
      </c>
    </row>
    <row r="64" spans="1:16" x14ac:dyDescent="0.2">
      <c r="A64" s="230"/>
      <c r="B64" s="234"/>
      <c r="C64" s="145"/>
      <c r="D64" s="230"/>
      <c r="E64" s="230"/>
      <c r="F64" s="230"/>
      <c r="G64" s="230"/>
      <c r="H64" s="230"/>
      <c r="I64" s="230"/>
      <c r="J64" s="111"/>
      <c r="L64" s="699" t="s">
        <v>87</v>
      </c>
      <c r="P64" s="699" t="s">
        <v>87</v>
      </c>
    </row>
    <row r="65" spans="1:16" ht="14.25" x14ac:dyDescent="0.2">
      <c r="A65" s="946" t="s">
        <v>1128</v>
      </c>
      <c r="B65" s="261">
        <v>21</v>
      </c>
      <c r="C65" s="1472" t="s">
        <v>90</v>
      </c>
      <c r="D65" s="1473"/>
      <c r="E65" s="1472" t="s">
        <v>90</v>
      </c>
      <c r="F65" s="1473"/>
      <c r="G65" s="1472" t="s">
        <v>90</v>
      </c>
      <c r="H65" s="1473"/>
      <c r="I65" s="1472" t="s">
        <v>90</v>
      </c>
      <c r="J65" s="1473"/>
      <c r="L65" s="699" t="s">
        <v>87</v>
      </c>
      <c r="P65" s="699" t="s">
        <v>87</v>
      </c>
    </row>
    <row r="66" spans="1:16" x14ac:dyDescent="0.2">
      <c r="L66" s="699" t="s">
        <v>87</v>
      </c>
      <c r="P66" s="699" t="s">
        <v>87</v>
      </c>
    </row>
    <row r="67" spans="1:16" x14ac:dyDescent="0.2">
      <c r="A67" s="699" t="s">
        <v>87</v>
      </c>
      <c r="B67" s="699" t="s">
        <v>87</v>
      </c>
      <c r="C67" s="699" t="s">
        <v>87</v>
      </c>
      <c r="D67" s="699" t="s">
        <v>87</v>
      </c>
      <c r="E67" s="699" t="s">
        <v>87</v>
      </c>
      <c r="F67" s="699" t="s">
        <v>87</v>
      </c>
      <c r="G67" s="699" t="s">
        <v>87</v>
      </c>
      <c r="H67" s="699" t="s">
        <v>87</v>
      </c>
      <c r="I67" s="699" t="s">
        <v>87</v>
      </c>
      <c r="J67" s="699" t="s">
        <v>87</v>
      </c>
      <c r="K67" s="699" t="s">
        <v>87</v>
      </c>
      <c r="L67" s="699" t="s">
        <v>87</v>
      </c>
      <c r="P67" s="699" t="s">
        <v>87</v>
      </c>
    </row>
  </sheetData>
  <mergeCells count="112">
    <mergeCell ref="C7:D7"/>
    <mergeCell ref="E7:F7"/>
    <mergeCell ref="G7:H7"/>
    <mergeCell ref="C8:D8"/>
    <mergeCell ref="C17:D17"/>
    <mergeCell ref="E17:F17"/>
    <mergeCell ref="E4:F4"/>
    <mergeCell ref="G4:H4"/>
    <mergeCell ref="G5:H5"/>
    <mergeCell ref="C6:D6"/>
    <mergeCell ref="E6:F6"/>
    <mergeCell ref="G6:H6"/>
    <mergeCell ref="C22:D22"/>
    <mergeCell ref="E22:F22"/>
    <mergeCell ref="C23:D23"/>
    <mergeCell ref="E23:F23"/>
    <mergeCell ref="C24:D24"/>
    <mergeCell ref="E24:F24"/>
    <mergeCell ref="C19:D19"/>
    <mergeCell ref="E19:F19"/>
    <mergeCell ref="C20:D20"/>
    <mergeCell ref="E20:F20"/>
    <mergeCell ref="C21:D21"/>
    <mergeCell ref="E21:F21"/>
    <mergeCell ref="C29:D29"/>
    <mergeCell ref="E29:F29"/>
    <mergeCell ref="C30:D30"/>
    <mergeCell ref="E30:F30"/>
    <mergeCell ref="C31:D31"/>
    <mergeCell ref="E31:F31"/>
    <mergeCell ref="C25:D25"/>
    <mergeCell ref="E25:F25"/>
    <mergeCell ref="C27:D27"/>
    <mergeCell ref="E27:F27"/>
    <mergeCell ref="C28:D28"/>
    <mergeCell ref="E28:F28"/>
    <mergeCell ref="C36:D36"/>
    <mergeCell ref="E36:F36"/>
    <mergeCell ref="C46:D46"/>
    <mergeCell ref="E46:F46"/>
    <mergeCell ref="G46:H46"/>
    <mergeCell ref="I46:J46"/>
    <mergeCell ref="C32:D32"/>
    <mergeCell ref="E32:F32"/>
    <mergeCell ref="C33:D33"/>
    <mergeCell ref="E33:F33"/>
    <mergeCell ref="C34:D34"/>
    <mergeCell ref="E34:F34"/>
    <mergeCell ref="C50:D50"/>
    <mergeCell ref="E50:F50"/>
    <mergeCell ref="G50:H50"/>
    <mergeCell ref="I50:J50"/>
    <mergeCell ref="C51:D51"/>
    <mergeCell ref="E51:F51"/>
    <mergeCell ref="G51:H51"/>
    <mergeCell ref="I51:J51"/>
    <mergeCell ref="C48:D48"/>
    <mergeCell ref="E48:F48"/>
    <mergeCell ref="G48:H48"/>
    <mergeCell ref="I48:J48"/>
    <mergeCell ref="C49:D49"/>
    <mergeCell ref="E49:F49"/>
    <mergeCell ref="G49:H49"/>
    <mergeCell ref="I49:J49"/>
    <mergeCell ref="C54:D54"/>
    <mergeCell ref="E54:F54"/>
    <mergeCell ref="G54:H54"/>
    <mergeCell ref="I54:J54"/>
    <mergeCell ref="C56:D56"/>
    <mergeCell ref="E56:F56"/>
    <mergeCell ref="G56:H56"/>
    <mergeCell ref="I56:J56"/>
    <mergeCell ref="C52:D52"/>
    <mergeCell ref="E52:F52"/>
    <mergeCell ref="G52:H52"/>
    <mergeCell ref="I52:J52"/>
    <mergeCell ref="C53:D53"/>
    <mergeCell ref="E53:F53"/>
    <mergeCell ref="G53:H53"/>
    <mergeCell ref="I53:J53"/>
    <mergeCell ref="C59:D59"/>
    <mergeCell ref="E59:F59"/>
    <mergeCell ref="G59:H59"/>
    <mergeCell ref="I59:J59"/>
    <mergeCell ref="C60:D60"/>
    <mergeCell ref="E60:F60"/>
    <mergeCell ref="G60:H60"/>
    <mergeCell ref="I60:J60"/>
    <mergeCell ref="C57:D57"/>
    <mergeCell ref="E57:F57"/>
    <mergeCell ref="G57:H57"/>
    <mergeCell ref="I57:J57"/>
    <mergeCell ref="C58:D58"/>
    <mergeCell ref="E58:F58"/>
    <mergeCell ref="G58:H58"/>
    <mergeCell ref="I58:J58"/>
    <mergeCell ref="C63:D63"/>
    <mergeCell ref="E63:F63"/>
    <mergeCell ref="G63:H63"/>
    <mergeCell ref="I63:J63"/>
    <mergeCell ref="C65:D65"/>
    <mergeCell ref="E65:F65"/>
    <mergeCell ref="G65:H65"/>
    <mergeCell ref="I65:J65"/>
    <mergeCell ref="C61:D61"/>
    <mergeCell ref="E61:F61"/>
    <mergeCell ref="G61:H61"/>
    <mergeCell ref="I61:J61"/>
    <mergeCell ref="C62:D62"/>
    <mergeCell ref="E62:F62"/>
    <mergeCell ref="G62:H62"/>
    <mergeCell ref="I62:J62"/>
  </mergeCells>
  <pageMargins left="0.23622047244094491" right="0.23622047244094491" top="0.74803149606299213" bottom="0.74803149606299213" header="0.31496062992125984" footer="0.31496062992125984"/>
  <pageSetup paperSize="9" scale="99" fitToHeight="0" orientation="landscape" horizontalDpi="300" verticalDpi="300" r:id="rId1"/>
  <headerFooter>
    <oddFooter>&amp;F&amp;RPage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FF00"/>
  </sheetPr>
  <dimension ref="A1:H26"/>
  <sheetViews>
    <sheetView zoomScaleNormal="100" workbookViewId="0">
      <selection activeCell="A7" sqref="A7"/>
    </sheetView>
  </sheetViews>
  <sheetFormatPr defaultRowHeight="12.75" x14ac:dyDescent="0.2"/>
  <cols>
    <col min="1" max="1" width="28.28515625" customWidth="1"/>
    <col min="2" max="2" width="4.7109375" customWidth="1"/>
    <col min="3" max="5" width="15.85546875" customWidth="1"/>
    <col min="6" max="6" width="15.28515625" customWidth="1"/>
    <col min="7" max="7" width="0.85546875" customWidth="1"/>
    <col min="8" max="8" width="2" customWidth="1"/>
    <col min="9" max="9" width="15.85546875" customWidth="1"/>
    <col min="10" max="10" width="13.42578125" customWidth="1"/>
    <col min="11" max="11" width="13.140625" customWidth="1"/>
  </cols>
  <sheetData>
    <row r="1" spans="1:8" ht="14.25" x14ac:dyDescent="0.2">
      <c r="A1" s="93" t="str">
        <f>FT15.Participant!$A$1</f>
        <v>&lt;IAIG's Name&gt;</v>
      </c>
      <c r="B1" s="94"/>
      <c r="C1" s="94"/>
      <c r="D1" s="94"/>
      <c r="E1" s="94"/>
      <c r="F1" s="95" t="str">
        <f ca="1">HYPERLINK("#"&amp;CELL("address",FT15.IndexSheet),Version)</f>
        <v>2015 IAIS Field Testing Template</v>
      </c>
      <c r="H1" s="96" t="s">
        <v>87</v>
      </c>
    </row>
    <row r="2" spans="1:8" ht="15" x14ac:dyDescent="0.25">
      <c r="A2" s="97" t="str">
        <f>FT15.Participant!$A$2</f>
        <v>&lt;Currency&gt; - (&lt;Unit&gt;)</v>
      </c>
      <c r="B2" s="98" t="s">
        <v>49</v>
      </c>
      <c r="C2" s="99"/>
      <c r="D2" s="99"/>
      <c r="E2" s="99"/>
      <c r="F2" s="100" t="str">
        <f>FT15.Participant!$E$2</f>
        <v xml:space="preserve">&lt;Reporting Date&gt; - </v>
      </c>
      <c r="H2" s="96" t="s">
        <v>87</v>
      </c>
    </row>
    <row r="3" spans="1:8" ht="14.25" x14ac:dyDescent="0.2">
      <c r="H3" s="96" t="s">
        <v>87</v>
      </c>
    </row>
    <row r="4" spans="1:8" ht="14.25" x14ac:dyDescent="0.2">
      <c r="F4" s="810"/>
      <c r="H4" s="96" t="s">
        <v>87</v>
      </c>
    </row>
    <row r="5" spans="1:8" ht="14.25" x14ac:dyDescent="0.2">
      <c r="H5" s="96" t="s">
        <v>87</v>
      </c>
    </row>
    <row r="6" spans="1:8" ht="14.25" x14ac:dyDescent="0.2">
      <c r="H6" s="96" t="s">
        <v>87</v>
      </c>
    </row>
    <row r="7" spans="1:8" ht="38.25" x14ac:dyDescent="0.2">
      <c r="A7" s="957" t="s">
        <v>1132</v>
      </c>
      <c r="B7" s="958"/>
      <c r="C7" s="278"/>
      <c r="D7" s="278" t="s">
        <v>690</v>
      </c>
      <c r="E7" s="278" t="s">
        <v>691</v>
      </c>
      <c r="H7" s="96" t="s">
        <v>87</v>
      </c>
    </row>
    <row r="8" spans="1:8" ht="14.25" x14ac:dyDescent="0.2">
      <c r="A8" s="959"/>
      <c r="B8" s="124">
        <v>100</v>
      </c>
      <c r="C8" s="105"/>
      <c r="D8" s="167">
        <v>1</v>
      </c>
      <c r="E8" s="214">
        <v>2</v>
      </c>
      <c r="H8" s="96" t="s">
        <v>87</v>
      </c>
    </row>
    <row r="9" spans="1:8" ht="14.25" x14ac:dyDescent="0.2">
      <c r="A9" s="907" t="s">
        <v>1133</v>
      </c>
      <c r="B9" s="169">
        <v>1</v>
      </c>
      <c r="C9" s="960"/>
      <c r="D9" s="219">
        <f>MAX(0,SUM(C15)-SUM(D15))+D10</f>
        <v>0</v>
      </c>
      <c r="E9" s="219">
        <f>MAX(0,D9-SUM(E15))</f>
        <v>0</v>
      </c>
      <c r="H9" s="96" t="s">
        <v>87</v>
      </c>
    </row>
    <row r="10" spans="1:8" ht="14.25" x14ac:dyDescent="0.2">
      <c r="A10" s="97" t="s">
        <v>1134</v>
      </c>
      <c r="B10" s="162">
        <v>2</v>
      </c>
      <c r="C10" s="961"/>
      <c r="D10" s="1468">
        <f>'ICS.Non-Life type risk'!H8</f>
        <v>0</v>
      </c>
      <c r="E10" s="1469"/>
      <c r="H10" s="96" t="s">
        <v>87</v>
      </c>
    </row>
    <row r="11" spans="1:8" ht="14.25" x14ac:dyDescent="0.2">
      <c r="H11" s="96" t="s">
        <v>87</v>
      </c>
    </row>
    <row r="12" spans="1:8" ht="14.25" x14ac:dyDescent="0.2">
      <c r="H12" s="96" t="s">
        <v>87</v>
      </c>
    </row>
    <row r="13" spans="1:8" ht="51" x14ac:dyDescent="0.2">
      <c r="A13" s="962" t="s">
        <v>1070</v>
      </c>
      <c r="B13" s="958"/>
      <c r="C13" s="278" t="s">
        <v>1135</v>
      </c>
      <c r="D13" s="278" t="s">
        <v>1136</v>
      </c>
      <c r="E13" s="278" t="s">
        <v>990</v>
      </c>
      <c r="H13" s="96" t="s">
        <v>87</v>
      </c>
    </row>
    <row r="14" spans="1:8" ht="14.25" x14ac:dyDescent="0.2">
      <c r="A14" s="959"/>
      <c r="B14" s="124">
        <v>101</v>
      </c>
      <c r="C14" s="105">
        <v>1</v>
      </c>
      <c r="D14" s="105">
        <v>2</v>
      </c>
      <c r="E14" s="106">
        <v>3</v>
      </c>
      <c r="H14" s="96" t="s">
        <v>87</v>
      </c>
    </row>
    <row r="15" spans="1:8" ht="14.25" x14ac:dyDescent="0.2">
      <c r="A15" s="963" t="s">
        <v>370</v>
      </c>
      <c r="B15" s="234">
        <v>1</v>
      </c>
      <c r="C15" s="282">
        <f>SUM(C16,C19,C22,C23)-SUM(C24)</f>
        <v>0</v>
      </c>
      <c r="D15" s="149" t="s">
        <v>90</v>
      </c>
      <c r="E15" s="149" t="s">
        <v>90</v>
      </c>
      <c r="H15" s="96" t="s">
        <v>87</v>
      </c>
    </row>
    <row r="16" spans="1:8" ht="14.25" x14ac:dyDescent="0.2">
      <c r="A16" s="307" t="s">
        <v>1137</v>
      </c>
      <c r="B16" s="234">
        <v>2</v>
      </c>
      <c r="C16" s="282">
        <f>SUM(C17:C18)</f>
        <v>0</v>
      </c>
      <c r="D16" s="269"/>
      <c r="E16" s="269"/>
      <c r="H16" s="96" t="s">
        <v>87</v>
      </c>
    </row>
    <row r="17" spans="1:8" ht="14.25" x14ac:dyDescent="0.2">
      <c r="A17" s="319" t="s">
        <v>1138</v>
      </c>
      <c r="B17" s="234">
        <v>3</v>
      </c>
      <c r="C17" s="964" t="s">
        <v>90</v>
      </c>
      <c r="D17" s="130"/>
      <c r="E17" s="130"/>
      <c r="H17" s="96" t="s">
        <v>87</v>
      </c>
    </row>
    <row r="18" spans="1:8" ht="14.25" x14ac:dyDescent="0.2">
      <c r="A18" s="965" t="s">
        <v>1139</v>
      </c>
      <c r="B18" s="234">
        <v>4</v>
      </c>
      <c r="C18" s="966" t="s">
        <v>90</v>
      </c>
      <c r="D18" s="275"/>
      <c r="E18" s="275"/>
      <c r="H18" s="96" t="s">
        <v>87</v>
      </c>
    </row>
    <row r="19" spans="1:8" ht="14.25" x14ac:dyDescent="0.2">
      <c r="A19" s="307" t="s">
        <v>1140</v>
      </c>
      <c r="B19" s="234">
        <v>5</v>
      </c>
      <c r="C19" s="282">
        <f>SUM(C20:C21)</f>
        <v>0</v>
      </c>
      <c r="D19" s="269"/>
      <c r="E19" s="269"/>
      <c r="H19" s="96" t="s">
        <v>87</v>
      </c>
    </row>
    <row r="20" spans="1:8" ht="14.25" x14ac:dyDescent="0.2">
      <c r="A20" s="319" t="s">
        <v>1138</v>
      </c>
      <c r="B20" s="234">
        <v>6</v>
      </c>
      <c r="C20" s="964" t="s">
        <v>90</v>
      </c>
      <c r="D20" s="130"/>
      <c r="E20" s="130"/>
      <c r="H20" s="96" t="s">
        <v>87</v>
      </c>
    </row>
    <row r="21" spans="1:8" ht="14.25" x14ac:dyDescent="0.2">
      <c r="A21" s="965" t="s">
        <v>1139</v>
      </c>
      <c r="B21" s="234">
        <v>7</v>
      </c>
      <c r="C21" s="966" t="s">
        <v>90</v>
      </c>
      <c r="D21" s="275"/>
      <c r="E21" s="275"/>
      <c r="H21" s="96" t="s">
        <v>87</v>
      </c>
    </row>
    <row r="22" spans="1:8" ht="14.25" x14ac:dyDescent="0.2">
      <c r="A22" s="272" t="s">
        <v>1141</v>
      </c>
      <c r="B22" s="234">
        <v>8</v>
      </c>
      <c r="C22" s="964" t="s">
        <v>90</v>
      </c>
      <c r="D22" s="269"/>
      <c r="E22" s="269"/>
      <c r="H22" s="96" t="s">
        <v>87</v>
      </c>
    </row>
    <row r="23" spans="1:8" ht="14.25" x14ac:dyDescent="0.2">
      <c r="A23" s="272" t="s">
        <v>1142</v>
      </c>
      <c r="B23" s="234">
        <v>9</v>
      </c>
      <c r="C23" s="964" t="s">
        <v>90</v>
      </c>
      <c r="D23" s="130"/>
      <c r="E23" s="130"/>
      <c r="H23" s="96" t="s">
        <v>87</v>
      </c>
    </row>
    <row r="24" spans="1:8" ht="14.25" x14ac:dyDescent="0.2">
      <c r="A24" s="273" t="s">
        <v>1143</v>
      </c>
      <c r="B24" s="261">
        <v>10</v>
      </c>
      <c r="C24" s="966" t="s">
        <v>90</v>
      </c>
      <c r="D24" s="275"/>
      <c r="E24" s="275"/>
      <c r="H24" s="96" t="s">
        <v>87</v>
      </c>
    </row>
    <row r="25" spans="1:8" ht="14.25" x14ac:dyDescent="0.2">
      <c r="H25" s="96" t="s">
        <v>87</v>
      </c>
    </row>
    <row r="26" spans="1:8" ht="14.25" x14ac:dyDescent="0.2">
      <c r="A26" s="96" t="s">
        <v>87</v>
      </c>
      <c r="B26" s="96" t="s">
        <v>87</v>
      </c>
      <c r="C26" s="96" t="s">
        <v>87</v>
      </c>
      <c r="D26" s="96" t="s">
        <v>87</v>
      </c>
      <c r="E26" s="96" t="s">
        <v>87</v>
      </c>
      <c r="F26" s="96" t="s">
        <v>87</v>
      </c>
      <c r="G26" s="96" t="s">
        <v>87</v>
      </c>
      <c r="H26" s="96" t="s">
        <v>87</v>
      </c>
    </row>
  </sheetData>
  <mergeCells count="1">
    <mergeCell ref="D10:E10"/>
  </mergeCells>
  <pageMargins left="0.25" right="0.25" top="0.75" bottom="0.75" header="0.3" footer="0.3"/>
  <pageSetup paperSize="9"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sheetPr>
  <dimension ref="A1:P60"/>
  <sheetViews>
    <sheetView workbookViewId="0">
      <selection activeCell="A5" sqref="A5"/>
    </sheetView>
  </sheetViews>
  <sheetFormatPr defaultRowHeight="12.75" x14ac:dyDescent="0.2"/>
  <cols>
    <col min="1" max="1" width="28.28515625" customWidth="1"/>
    <col min="2" max="2" width="4.7109375" customWidth="1"/>
    <col min="3" max="9" width="8.7109375" customWidth="1"/>
    <col min="10" max="10" width="14.28515625" customWidth="1"/>
    <col min="11" max="11" width="1.42578125" customWidth="1"/>
    <col min="12" max="12" width="2" customWidth="1"/>
    <col min="13" max="13" width="4.42578125" customWidth="1"/>
    <col min="14" max="14" width="9.140625" customWidth="1"/>
    <col min="15" max="15" width="3" customWidth="1"/>
    <col min="16" max="16" width="2" customWidth="1"/>
  </cols>
  <sheetData>
    <row r="1" spans="1:16" ht="14.25" x14ac:dyDescent="0.2">
      <c r="A1" s="93" t="str">
        <f>FT15.Participant!$A$1</f>
        <v>&lt;IAIG's Name&gt;</v>
      </c>
      <c r="B1" s="94"/>
      <c r="C1" s="94"/>
      <c r="D1" s="94"/>
      <c r="E1" s="94"/>
      <c r="F1" s="94"/>
      <c r="G1" s="94"/>
      <c r="H1" s="94"/>
      <c r="I1" s="94"/>
      <c r="J1" s="95" t="str">
        <f ca="1">HYPERLINK("#"&amp;CELL("address",FT15.IndexSheet),Version)</f>
        <v>2015 IAIS Field Testing Template</v>
      </c>
      <c r="L1" s="96" t="s">
        <v>87</v>
      </c>
      <c r="P1" s="96" t="s">
        <v>87</v>
      </c>
    </row>
    <row r="2" spans="1:16" ht="15" x14ac:dyDescent="0.25">
      <c r="A2" s="97" t="str">
        <f>FT15.Participant!$A$2</f>
        <v>&lt;Currency&gt; - (&lt;Unit&gt;)</v>
      </c>
      <c r="B2" s="967"/>
      <c r="C2" s="98" t="s">
        <v>51</v>
      </c>
      <c r="D2" s="99"/>
      <c r="E2" s="99"/>
      <c r="F2" s="99"/>
      <c r="G2" s="99"/>
      <c r="H2" s="99"/>
      <c r="I2" s="99"/>
      <c r="J2" s="100" t="str">
        <f>FT15.Participant!$E$2</f>
        <v xml:space="preserve">&lt;Reporting Date&gt; - </v>
      </c>
      <c r="L2" s="96" t="s">
        <v>87</v>
      </c>
      <c r="P2" s="96" t="s">
        <v>87</v>
      </c>
    </row>
    <row r="3" spans="1:16" ht="14.25" x14ac:dyDescent="0.2">
      <c r="L3" s="96" t="s">
        <v>87</v>
      </c>
      <c r="P3" s="96" t="s">
        <v>87</v>
      </c>
    </row>
    <row r="4" spans="1:16" ht="14.25" x14ac:dyDescent="0.2">
      <c r="C4" s="711" t="s">
        <v>1144</v>
      </c>
      <c r="D4" s="968"/>
      <c r="E4" s="968"/>
      <c r="F4" s="969" t="s">
        <v>1145</v>
      </c>
      <c r="G4" s="970"/>
      <c r="H4" s="969" t="s">
        <v>1146</v>
      </c>
      <c r="I4" s="970"/>
      <c r="L4" s="96" t="s">
        <v>87</v>
      </c>
      <c r="P4" s="96" t="s">
        <v>87</v>
      </c>
    </row>
    <row r="5" spans="1:16" ht="48" x14ac:dyDescent="0.2">
      <c r="A5" s="957" t="s">
        <v>1147</v>
      </c>
      <c r="B5" s="958"/>
      <c r="C5" s="655" t="s">
        <v>690</v>
      </c>
      <c r="D5" s="655" t="s">
        <v>691</v>
      </c>
      <c r="E5" s="655" t="s">
        <v>1148</v>
      </c>
      <c r="F5" s="655" t="s">
        <v>1006</v>
      </c>
      <c r="G5" s="655" t="s">
        <v>1149</v>
      </c>
      <c r="H5" s="655" t="s">
        <v>1006</v>
      </c>
      <c r="I5" s="655" t="s">
        <v>1149</v>
      </c>
      <c r="L5" s="96" t="s">
        <v>87</v>
      </c>
      <c r="N5" s="971" t="s">
        <v>1150</v>
      </c>
      <c r="P5" s="96" t="s">
        <v>87</v>
      </c>
    </row>
    <row r="6" spans="1:16" ht="14.25" x14ac:dyDescent="0.2">
      <c r="A6" s="959"/>
      <c r="B6" s="972">
        <v>102</v>
      </c>
      <c r="C6" s="105">
        <v>1</v>
      </c>
      <c r="D6" s="105">
        <v>2</v>
      </c>
      <c r="E6" s="105">
        <v>3</v>
      </c>
      <c r="F6" s="105">
        <v>4</v>
      </c>
      <c r="G6" s="105">
        <v>5</v>
      </c>
      <c r="H6" s="105">
        <v>6</v>
      </c>
      <c r="I6" s="106">
        <v>7</v>
      </c>
      <c r="L6" s="96" t="s">
        <v>87</v>
      </c>
      <c r="N6" s="971"/>
      <c r="P6" s="96" t="s">
        <v>87</v>
      </c>
    </row>
    <row r="7" spans="1:16" ht="14.25" x14ac:dyDescent="0.2">
      <c r="A7" s="959"/>
      <c r="B7" s="261">
        <v>1</v>
      </c>
      <c r="C7" s="144" t="s">
        <v>90</v>
      </c>
      <c r="D7" s="219" t="str">
        <f>IF(E7="-","-",IF(E7="Long",G7,I7))</f>
        <v>-</v>
      </c>
      <c r="E7" s="973" t="str">
        <f>IF(OR(G7&gt;0,I7&gt;0),IF(G7&gt;I7,"Long","Short"),"-")</f>
        <v>-</v>
      </c>
      <c r="F7" s="226">
        <f>SUMIF(G$11:G$57,"&gt;0")-G7</f>
        <v>0</v>
      </c>
      <c r="G7" s="226">
        <f>SQRT($N7*SUMIF(G$11:G$57,"&gt;0")^2+(1-$N7)*SUMPRODUCT(G$11:G$57,G$11:G$57,--(G$11:G$57&gt;0)))</f>
        <v>0</v>
      </c>
      <c r="H7" s="226">
        <f>SUMIF(I$11:I$57,"&gt;0")-I7</f>
        <v>0</v>
      </c>
      <c r="I7" s="226">
        <f>SQRT($N7*SUMIF(I$11:I$57,"&gt;0")^2+(1-$N7)*SUMPRODUCT(I$11:I$57,I$11:I$57,--(I$11:I$57&gt;0)))</f>
        <v>0</v>
      </c>
      <c r="L7" s="96" t="s">
        <v>87</v>
      </c>
      <c r="N7" s="974">
        <v>0.5</v>
      </c>
      <c r="P7" s="96" t="s">
        <v>87</v>
      </c>
    </row>
    <row r="8" spans="1:16" ht="14.25" x14ac:dyDescent="0.2">
      <c r="L8" s="96" t="s">
        <v>87</v>
      </c>
      <c r="P8" s="96" t="s">
        <v>87</v>
      </c>
    </row>
    <row r="9" spans="1:16" ht="85.5" customHeight="1" x14ac:dyDescent="0.2">
      <c r="A9" s="957" t="s">
        <v>1151</v>
      </c>
      <c r="B9" s="958"/>
      <c r="C9" s="278" t="s">
        <v>1152</v>
      </c>
      <c r="D9" s="278" t="s">
        <v>1153</v>
      </c>
      <c r="E9" s="278" t="s">
        <v>1154</v>
      </c>
      <c r="F9" s="278" t="s">
        <v>1155</v>
      </c>
      <c r="G9" s="278" t="s">
        <v>1156</v>
      </c>
      <c r="H9" s="278" t="s">
        <v>1157</v>
      </c>
      <c r="I9" s="278" t="s">
        <v>1156</v>
      </c>
      <c r="J9" s="278" t="s">
        <v>1158</v>
      </c>
      <c r="L9" s="96" t="s">
        <v>87</v>
      </c>
      <c r="P9" s="96" t="s">
        <v>87</v>
      </c>
    </row>
    <row r="10" spans="1:16" ht="14.25" x14ac:dyDescent="0.2">
      <c r="A10" s="975">
        <v>1</v>
      </c>
      <c r="B10" s="972">
        <v>103</v>
      </c>
      <c r="C10" s="105">
        <v>2</v>
      </c>
      <c r="D10" s="105">
        <v>3</v>
      </c>
      <c r="E10" s="105">
        <v>4</v>
      </c>
      <c r="F10" s="105">
        <v>5</v>
      </c>
      <c r="G10" s="105">
        <v>6</v>
      </c>
      <c r="H10" s="105">
        <v>7</v>
      </c>
      <c r="I10" s="167">
        <v>8</v>
      </c>
      <c r="J10" s="214">
        <v>9</v>
      </c>
      <c r="L10" s="96" t="s">
        <v>87</v>
      </c>
      <c r="P10" s="96" t="s">
        <v>87</v>
      </c>
    </row>
    <row r="11" spans="1:16" ht="14.25" x14ac:dyDescent="0.2">
      <c r="A11" s="976" t="s">
        <v>1159</v>
      </c>
      <c r="B11" s="234"/>
      <c r="C11" s="977"/>
      <c r="D11" s="977"/>
      <c r="E11" s="977"/>
      <c r="F11" s="977"/>
      <c r="G11" s="977"/>
      <c r="H11" s="977"/>
      <c r="I11" s="977"/>
      <c r="J11" s="977"/>
      <c r="L11" s="96" t="s">
        <v>87</v>
      </c>
      <c r="P11" s="96" t="s">
        <v>87</v>
      </c>
    </row>
    <row r="12" spans="1:16" ht="14.25" x14ac:dyDescent="0.2">
      <c r="A12" s="978" t="s">
        <v>1160</v>
      </c>
      <c r="B12" s="234">
        <v>1</v>
      </c>
      <c r="C12" s="137" t="s">
        <v>90</v>
      </c>
      <c r="D12" s="137" t="s">
        <v>90</v>
      </c>
      <c r="E12" s="137" t="s">
        <v>90</v>
      </c>
      <c r="F12" s="137" t="s">
        <v>90</v>
      </c>
      <c r="G12" s="133">
        <f t="shared" ref="G12:G46" si="0">IF(SUM($C12)&gt;0,SUM($C12)-SUM(F12),0)</f>
        <v>0</v>
      </c>
      <c r="H12" s="137" t="s">
        <v>90</v>
      </c>
      <c r="I12" s="133">
        <f t="shared" ref="I12:I46" si="1">IF(SUM($C12)&lt;0,(SUM($C12)-SUM(H12)),0)</f>
        <v>0</v>
      </c>
      <c r="J12" s="137" t="s">
        <v>90</v>
      </c>
      <c r="L12" s="96" t="s">
        <v>87</v>
      </c>
      <c r="P12" s="96" t="s">
        <v>87</v>
      </c>
    </row>
    <row r="13" spans="1:16" ht="14.25" x14ac:dyDescent="0.2">
      <c r="A13" s="978" t="s">
        <v>1161</v>
      </c>
      <c r="B13" s="234">
        <v>2</v>
      </c>
      <c r="C13" s="137" t="s">
        <v>90</v>
      </c>
      <c r="D13" s="137" t="s">
        <v>90</v>
      </c>
      <c r="E13" s="137" t="s">
        <v>90</v>
      </c>
      <c r="F13" s="137" t="s">
        <v>90</v>
      </c>
      <c r="G13" s="133">
        <f t="shared" si="0"/>
        <v>0</v>
      </c>
      <c r="H13" s="137" t="s">
        <v>90</v>
      </c>
      <c r="I13" s="133">
        <f t="shared" si="1"/>
        <v>0</v>
      </c>
      <c r="J13" s="137" t="s">
        <v>90</v>
      </c>
      <c r="L13" s="96" t="s">
        <v>87</v>
      </c>
      <c r="P13" s="96" t="s">
        <v>87</v>
      </c>
    </row>
    <row r="14" spans="1:16" ht="14.25" x14ac:dyDescent="0.2">
      <c r="A14" s="978" t="s">
        <v>1162</v>
      </c>
      <c r="B14" s="234">
        <v>3</v>
      </c>
      <c r="C14" s="137" t="s">
        <v>90</v>
      </c>
      <c r="D14" s="137" t="s">
        <v>90</v>
      </c>
      <c r="E14" s="137" t="s">
        <v>90</v>
      </c>
      <c r="F14" s="137" t="s">
        <v>90</v>
      </c>
      <c r="G14" s="133">
        <f t="shared" si="0"/>
        <v>0</v>
      </c>
      <c r="H14" s="137" t="s">
        <v>90</v>
      </c>
      <c r="I14" s="133">
        <f t="shared" si="1"/>
        <v>0</v>
      </c>
      <c r="J14" s="137" t="s">
        <v>90</v>
      </c>
      <c r="L14" s="96" t="s">
        <v>87</v>
      </c>
      <c r="P14" s="96" t="s">
        <v>87</v>
      </c>
    </row>
    <row r="15" spans="1:16" ht="14.25" x14ac:dyDescent="0.2">
      <c r="A15" s="978" t="s">
        <v>1163</v>
      </c>
      <c r="B15" s="234">
        <v>4</v>
      </c>
      <c r="C15" s="137" t="s">
        <v>90</v>
      </c>
      <c r="D15" s="137" t="s">
        <v>90</v>
      </c>
      <c r="E15" s="137" t="s">
        <v>90</v>
      </c>
      <c r="F15" s="137" t="s">
        <v>90</v>
      </c>
      <c r="G15" s="133">
        <f t="shared" si="0"/>
        <v>0</v>
      </c>
      <c r="H15" s="137" t="s">
        <v>90</v>
      </c>
      <c r="I15" s="133">
        <f t="shared" si="1"/>
        <v>0</v>
      </c>
      <c r="J15" s="137" t="s">
        <v>90</v>
      </c>
      <c r="L15" s="96" t="s">
        <v>87</v>
      </c>
      <c r="P15" s="96" t="s">
        <v>87</v>
      </c>
    </row>
    <row r="16" spans="1:16" ht="14.25" x14ac:dyDescent="0.2">
      <c r="A16" s="978" t="s">
        <v>1164</v>
      </c>
      <c r="B16" s="234">
        <v>5</v>
      </c>
      <c r="C16" s="137" t="s">
        <v>90</v>
      </c>
      <c r="D16" s="137" t="s">
        <v>90</v>
      </c>
      <c r="E16" s="137" t="s">
        <v>90</v>
      </c>
      <c r="F16" s="137" t="s">
        <v>90</v>
      </c>
      <c r="G16" s="133">
        <f t="shared" si="0"/>
        <v>0</v>
      </c>
      <c r="H16" s="137" t="s">
        <v>90</v>
      </c>
      <c r="I16" s="133">
        <f t="shared" si="1"/>
        <v>0</v>
      </c>
      <c r="J16" s="137" t="s">
        <v>90</v>
      </c>
      <c r="L16" s="96" t="s">
        <v>87</v>
      </c>
      <c r="P16" s="96" t="s">
        <v>87</v>
      </c>
    </row>
    <row r="17" spans="1:16" ht="14.25" x14ac:dyDescent="0.2">
      <c r="A17" s="978" t="s">
        <v>1165</v>
      </c>
      <c r="B17" s="234">
        <v>6</v>
      </c>
      <c r="C17" s="137" t="s">
        <v>90</v>
      </c>
      <c r="D17" s="137" t="s">
        <v>90</v>
      </c>
      <c r="E17" s="137" t="s">
        <v>90</v>
      </c>
      <c r="F17" s="137" t="s">
        <v>90</v>
      </c>
      <c r="G17" s="133">
        <f t="shared" si="0"/>
        <v>0</v>
      </c>
      <c r="H17" s="137" t="s">
        <v>90</v>
      </c>
      <c r="I17" s="133">
        <f t="shared" si="1"/>
        <v>0</v>
      </c>
      <c r="J17" s="137" t="s">
        <v>90</v>
      </c>
      <c r="L17" s="96" t="s">
        <v>87</v>
      </c>
      <c r="P17" s="96" t="s">
        <v>87</v>
      </c>
    </row>
    <row r="18" spans="1:16" ht="14.25" x14ac:dyDescent="0.2">
      <c r="A18" s="978" t="s">
        <v>1166</v>
      </c>
      <c r="B18" s="234">
        <v>7</v>
      </c>
      <c r="C18" s="137" t="s">
        <v>90</v>
      </c>
      <c r="D18" s="137" t="s">
        <v>90</v>
      </c>
      <c r="E18" s="137" t="s">
        <v>90</v>
      </c>
      <c r="F18" s="137" t="s">
        <v>90</v>
      </c>
      <c r="G18" s="133">
        <f t="shared" si="0"/>
        <v>0</v>
      </c>
      <c r="H18" s="137" t="s">
        <v>90</v>
      </c>
      <c r="I18" s="133">
        <f t="shared" si="1"/>
        <v>0</v>
      </c>
      <c r="J18" s="137" t="s">
        <v>90</v>
      </c>
      <c r="L18" s="96" t="s">
        <v>87</v>
      </c>
      <c r="P18" s="96" t="s">
        <v>87</v>
      </c>
    </row>
    <row r="19" spans="1:16" ht="14.25" x14ac:dyDescent="0.2">
      <c r="A19" s="978" t="s">
        <v>1167</v>
      </c>
      <c r="B19" s="234">
        <v>8</v>
      </c>
      <c r="C19" s="137" t="s">
        <v>90</v>
      </c>
      <c r="D19" s="137" t="s">
        <v>90</v>
      </c>
      <c r="E19" s="137" t="s">
        <v>90</v>
      </c>
      <c r="F19" s="137" t="s">
        <v>90</v>
      </c>
      <c r="G19" s="133">
        <f t="shared" si="0"/>
        <v>0</v>
      </c>
      <c r="H19" s="137" t="s">
        <v>90</v>
      </c>
      <c r="I19" s="133">
        <f t="shared" si="1"/>
        <v>0</v>
      </c>
      <c r="J19" s="137" t="s">
        <v>90</v>
      </c>
      <c r="L19" s="96" t="s">
        <v>87</v>
      </c>
      <c r="P19" s="96" t="s">
        <v>87</v>
      </c>
    </row>
    <row r="20" spans="1:16" ht="14.25" x14ac:dyDescent="0.2">
      <c r="A20" s="978" t="s">
        <v>1168</v>
      </c>
      <c r="B20" s="234">
        <v>9</v>
      </c>
      <c r="C20" s="137" t="s">
        <v>90</v>
      </c>
      <c r="D20" s="137" t="s">
        <v>90</v>
      </c>
      <c r="E20" s="137" t="s">
        <v>90</v>
      </c>
      <c r="F20" s="137" t="s">
        <v>90</v>
      </c>
      <c r="G20" s="133">
        <f t="shared" si="0"/>
        <v>0</v>
      </c>
      <c r="H20" s="137" t="s">
        <v>90</v>
      </c>
      <c r="I20" s="133">
        <f t="shared" si="1"/>
        <v>0</v>
      </c>
      <c r="J20" s="137" t="s">
        <v>90</v>
      </c>
      <c r="L20" s="96" t="s">
        <v>87</v>
      </c>
      <c r="P20" s="96" t="s">
        <v>87</v>
      </c>
    </row>
    <row r="21" spans="1:16" ht="14.25" x14ac:dyDescent="0.2">
      <c r="A21" s="978" t="s">
        <v>1169</v>
      </c>
      <c r="B21" s="234">
        <v>10</v>
      </c>
      <c r="C21" s="137" t="s">
        <v>90</v>
      </c>
      <c r="D21" s="137" t="s">
        <v>90</v>
      </c>
      <c r="E21" s="137" t="s">
        <v>90</v>
      </c>
      <c r="F21" s="137" t="s">
        <v>90</v>
      </c>
      <c r="G21" s="133">
        <f t="shared" si="0"/>
        <v>0</v>
      </c>
      <c r="H21" s="137" t="s">
        <v>90</v>
      </c>
      <c r="I21" s="133">
        <f t="shared" si="1"/>
        <v>0</v>
      </c>
      <c r="J21" s="137" t="s">
        <v>90</v>
      </c>
      <c r="L21" s="96" t="s">
        <v>87</v>
      </c>
      <c r="P21" s="96" t="s">
        <v>87</v>
      </c>
    </row>
    <row r="22" spans="1:16" ht="14.25" x14ac:dyDescent="0.2">
      <c r="A22" s="978" t="s">
        <v>1170</v>
      </c>
      <c r="B22" s="234">
        <v>11</v>
      </c>
      <c r="C22" s="137" t="s">
        <v>90</v>
      </c>
      <c r="D22" s="137" t="s">
        <v>90</v>
      </c>
      <c r="E22" s="137" t="s">
        <v>90</v>
      </c>
      <c r="F22" s="137" t="s">
        <v>90</v>
      </c>
      <c r="G22" s="133">
        <f t="shared" si="0"/>
        <v>0</v>
      </c>
      <c r="H22" s="137" t="s">
        <v>90</v>
      </c>
      <c r="I22" s="133">
        <f t="shared" si="1"/>
        <v>0</v>
      </c>
      <c r="J22" s="137" t="s">
        <v>90</v>
      </c>
      <c r="L22" s="96" t="s">
        <v>87</v>
      </c>
      <c r="P22" s="96" t="s">
        <v>87</v>
      </c>
    </row>
    <row r="23" spans="1:16" ht="14.25" x14ac:dyDescent="0.2">
      <c r="A23" s="978" t="s">
        <v>1171</v>
      </c>
      <c r="B23" s="234">
        <v>12</v>
      </c>
      <c r="C23" s="137" t="s">
        <v>90</v>
      </c>
      <c r="D23" s="137" t="s">
        <v>90</v>
      </c>
      <c r="E23" s="137" t="s">
        <v>90</v>
      </c>
      <c r="F23" s="137" t="s">
        <v>90</v>
      </c>
      <c r="G23" s="133">
        <f t="shared" si="0"/>
        <v>0</v>
      </c>
      <c r="H23" s="137" t="s">
        <v>90</v>
      </c>
      <c r="I23" s="133">
        <f t="shared" si="1"/>
        <v>0</v>
      </c>
      <c r="J23" s="137" t="s">
        <v>90</v>
      </c>
      <c r="L23" s="96" t="s">
        <v>87</v>
      </c>
      <c r="P23" s="96" t="s">
        <v>87</v>
      </c>
    </row>
    <row r="24" spans="1:16" ht="14.25" x14ac:dyDescent="0.2">
      <c r="A24" s="978" t="s">
        <v>1172</v>
      </c>
      <c r="B24" s="234">
        <v>13</v>
      </c>
      <c r="C24" s="137" t="s">
        <v>90</v>
      </c>
      <c r="D24" s="137" t="s">
        <v>90</v>
      </c>
      <c r="E24" s="137" t="s">
        <v>90</v>
      </c>
      <c r="F24" s="137" t="s">
        <v>90</v>
      </c>
      <c r="G24" s="133">
        <f t="shared" si="0"/>
        <v>0</v>
      </c>
      <c r="H24" s="137" t="s">
        <v>90</v>
      </c>
      <c r="I24" s="133">
        <f t="shared" si="1"/>
        <v>0</v>
      </c>
      <c r="J24" s="137" t="s">
        <v>90</v>
      </c>
      <c r="L24" s="96" t="s">
        <v>87</v>
      </c>
      <c r="P24" s="96" t="s">
        <v>87</v>
      </c>
    </row>
    <row r="25" spans="1:16" ht="14.25" x14ac:dyDescent="0.2">
      <c r="A25" s="978" t="s">
        <v>1173</v>
      </c>
      <c r="B25" s="234">
        <v>14</v>
      </c>
      <c r="C25" s="137" t="s">
        <v>90</v>
      </c>
      <c r="D25" s="137" t="s">
        <v>90</v>
      </c>
      <c r="E25" s="137" t="s">
        <v>90</v>
      </c>
      <c r="F25" s="137" t="s">
        <v>90</v>
      </c>
      <c r="G25" s="133">
        <f t="shared" si="0"/>
        <v>0</v>
      </c>
      <c r="H25" s="137" t="s">
        <v>90</v>
      </c>
      <c r="I25" s="133">
        <f t="shared" si="1"/>
        <v>0</v>
      </c>
      <c r="J25" s="137" t="s">
        <v>90</v>
      </c>
      <c r="L25" s="96" t="s">
        <v>87</v>
      </c>
      <c r="P25" s="96" t="s">
        <v>87</v>
      </c>
    </row>
    <row r="26" spans="1:16" ht="14.25" x14ac:dyDescent="0.2">
      <c r="A26" s="978" t="s">
        <v>1174</v>
      </c>
      <c r="B26" s="234">
        <v>15</v>
      </c>
      <c r="C26" s="137" t="s">
        <v>90</v>
      </c>
      <c r="D26" s="137" t="s">
        <v>90</v>
      </c>
      <c r="E26" s="137" t="s">
        <v>90</v>
      </c>
      <c r="F26" s="137" t="s">
        <v>90</v>
      </c>
      <c r="G26" s="133">
        <f t="shared" si="0"/>
        <v>0</v>
      </c>
      <c r="H26" s="137" t="s">
        <v>90</v>
      </c>
      <c r="I26" s="133">
        <f t="shared" si="1"/>
        <v>0</v>
      </c>
      <c r="J26" s="137" t="s">
        <v>90</v>
      </c>
      <c r="L26" s="96" t="s">
        <v>87</v>
      </c>
      <c r="P26" s="96" t="s">
        <v>87</v>
      </c>
    </row>
    <row r="27" spans="1:16" ht="14.25" x14ac:dyDescent="0.2">
      <c r="A27" s="978" t="s">
        <v>1175</v>
      </c>
      <c r="B27" s="234">
        <v>16</v>
      </c>
      <c r="C27" s="137" t="s">
        <v>90</v>
      </c>
      <c r="D27" s="137" t="s">
        <v>90</v>
      </c>
      <c r="E27" s="137" t="s">
        <v>90</v>
      </c>
      <c r="F27" s="137" t="s">
        <v>90</v>
      </c>
      <c r="G27" s="133">
        <f t="shared" si="0"/>
        <v>0</v>
      </c>
      <c r="H27" s="137" t="s">
        <v>90</v>
      </c>
      <c r="I27" s="133">
        <f t="shared" si="1"/>
        <v>0</v>
      </c>
      <c r="J27" s="137" t="s">
        <v>90</v>
      </c>
      <c r="L27" s="96" t="s">
        <v>87</v>
      </c>
      <c r="P27" s="96" t="s">
        <v>87</v>
      </c>
    </row>
    <row r="28" spans="1:16" ht="14.25" x14ac:dyDescent="0.2">
      <c r="A28" s="978" t="s">
        <v>1176</v>
      </c>
      <c r="B28" s="234">
        <v>17</v>
      </c>
      <c r="C28" s="137" t="s">
        <v>90</v>
      </c>
      <c r="D28" s="137" t="s">
        <v>90</v>
      </c>
      <c r="E28" s="137" t="s">
        <v>90</v>
      </c>
      <c r="F28" s="137" t="s">
        <v>90</v>
      </c>
      <c r="G28" s="133">
        <f t="shared" si="0"/>
        <v>0</v>
      </c>
      <c r="H28" s="137" t="s">
        <v>90</v>
      </c>
      <c r="I28" s="133">
        <f t="shared" si="1"/>
        <v>0</v>
      </c>
      <c r="J28" s="137" t="s">
        <v>90</v>
      </c>
      <c r="L28" s="96" t="s">
        <v>87</v>
      </c>
      <c r="P28" s="96" t="s">
        <v>87</v>
      </c>
    </row>
    <row r="29" spans="1:16" ht="14.25" x14ac:dyDescent="0.2">
      <c r="A29" s="978" t="s">
        <v>1177</v>
      </c>
      <c r="B29" s="234">
        <v>18</v>
      </c>
      <c r="C29" s="137" t="s">
        <v>90</v>
      </c>
      <c r="D29" s="137" t="s">
        <v>90</v>
      </c>
      <c r="E29" s="137" t="s">
        <v>90</v>
      </c>
      <c r="F29" s="137" t="s">
        <v>90</v>
      </c>
      <c r="G29" s="133">
        <f t="shared" si="0"/>
        <v>0</v>
      </c>
      <c r="H29" s="137" t="s">
        <v>90</v>
      </c>
      <c r="I29" s="133">
        <f t="shared" si="1"/>
        <v>0</v>
      </c>
      <c r="J29" s="137" t="s">
        <v>90</v>
      </c>
      <c r="L29" s="96" t="s">
        <v>87</v>
      </c>
      <c r="P29" s="96" t="s">
        <v>87</v>
      </c>
    </row>
    <row r="30" spans="1:16" ht="14.25" x14ac:dyDescent="0.2">
      <c r="A30" s="978" t="s">
        <v>1178</v>
      </c>
      <c r="B30" s="234">
        <v>19</v>
      </c>
      <c r="C30" s="137" t="s">
        <v>90</v>
      </c>
      <c r="D30" s="137" t="s">
        <v>90</v>
      </c>
      <c r="E30" s="137" t="s">
        <v>90</v>
      </c>
      <c r="F30" s="137" t="s">
        <v>90</v>
      </c>
      <c r="G30" s="133">
        <f t="shared" si="0"/>
        <v>0</v>
      </c>
      <c r="H30" s="137" t="s">
        <v>90</v>
      </c>
      <c r="I30" s="133">
        <f t="shared" si="1"/>
        <v>0</v>
      </c>
      <c r="J30" s="137" t="s">
        <v>90</v>
      </c>
      <c r="L30" s="96" t="s">
        <v>87</v>
      </c>
      <c r="P30" s="96" t="s">
        <v>87</v>
      </c>
    </row>
    <row r="31" spans="1:16" ht="14.25" x14ac:dyDescent="0.2">
      <c r="A31" s="978" t="s">
        <v>1179</v>
      </c>
      <c r="B31" s="234">
        <v>20</v>
      </c>
      <c r="C31" s="137" t="s">
        <v>90</v>
      </c>
      <c r="D31" s="137" t="s">
        <v>90</v>
      </c>
      <c r="E31" s="137" t="s">
        <v>90</v>
      </c>
      <c r="F31" s="137" t="s">
        <v>90</v>
      </c>
      <c r="G31" s="133">
        <f t="shared" si="0"/>
        <v>0</v>
      </c>
      <c r="H31" s="137" t="s">
        <v>90</v>
      </c>
      <c r="I31" s="133">
        <f t="shared" si="1"/>
        <v>0</v>
      </c>
      <c r="J31" s="137" t="s">
        <v>90</v>
      </c>
      <c r="L31" s="96" t="s">
        <v>87</v>
      </c>
      <c r="P31" s="96" t="s">
        <v>87</v>
      </c>
    </row>
    <row r="32" spans="1:16" ht="14.25" x14ac:dyDescent="0.2">
      <c r="A32" s="978" t="s">
        <v>1180</v>
      </c>
      <c r="B32" s="234">
        <v>21</v>
      </c>
      <c r="C32" s="137" t="s">
        <v>90</v>
      </c>
      <c r="D32" s="137" t="s">
        <v>90</v>
      </c>
      <c r="E32" s="137" t="s">
        <v>90</v>
      </c>
      <c r="F32" s="137" t="s">
        <v>90</v>
      </c>
      <c r="G32" s="133">
        <f t="shared" si="0"/>
        <v>0</v>
      </c>
      <c r="H32" s="137" t="s">
        <v>90</v>
      </c>
      <c r="I32" s="133">
        <f t="shared" si="1"/>
        <v>0</v>
      </c>
      <c r="J32" s="137" t="s">
        <v>90</v>
      </c>
      <c r="L32" s="96" t="s">
        <v>87</v>
      </c>
      <c r="P32" s="96" t="s">
        <v>87</v>
      </c>
    </row>
    <row r="33" spans="1:16" ht="14.25" x14ac:dyDescent="0.2">
      <c r="A33" s="978" t="s">
        <v>1181</v>
      </c>
      <c r="B33" s="234">
        <v>22</v>
      </c>
      <c r="C33" s="137" t="s">
        <v>90</v>
      </c>
      <c r="D33" s="137" t="s">
        <v>90</v>
      </c>
      <c r="E33" s="137" t="s">
        <v>90</v>
      </c>
      <c r="F33" s="137" t="s">
        <v>90</v>
      </c>
      <c r="G33" s="133">
        <f t="shared" si="0"/>
        <v>0</v>
      </c>
      <c r="H33" s="137" t="s">
        <v>90</v>
      </c>
      <c r="I33" s="133">
        <f t="shared" si="1"/>
        <v>0</v>
      </c>
      <c r="J33" s="137" t="s">
        <v>90</v>
      </c>
      <c r="L33" s="96" t="s">
        <v>87</v>
      </c>
      <c r="P33" s="96" t="s">
        <v>87</v>
      </c>
    </row>
    <row r="34" spans="1:16" ht="14.25" x14ac:dyDescent="0.2">
      <c r="A34" s="978" t="s">
        <v>1182</v>
      </c>
      <c r="B34" s="234">
        <v>23</v>
      </c>
      <c r="C34" s="137" t="s">
        <v>90</v>
      </c>
      <c r="D34" s="137" t="s">
        <v>90</v>
      </c>
      <c r="E34" s="137" t="s">
        <v>90</v>
      </c>
      <c r="F34" s="137" t="s">
        <v>90</v>
      </c>
      <c r="G34" s="133">
        <f t="shared" si="0"/>
        <v>0</v>
      </c>
      <c r="H34" s="137" t="s">
        <v>90</v>
      </c>
      <c r="I34" s="133">
        <f t="shared" si="1"/>
        <v>0</v>
      </c>
      <c r="J34" s="137" t="s">
        <v>90</v>
      </c>
      <c r="L34" s="96" t="s">
        <v>87</v>
      </c>
      <c r="P34" s="96" t="s">
        <v>87</v>
      </c>
    </row>
    <row r="35" spans="1:16" ht="14.25" x14ac:dyDescent="0.2">
      <c r="A35" s="978" t="s">
        <v>1183</v>
      </c>
      <c r="B35" s="234">
        <v>24</v>
      </c>
      <c r="C35" s="137" t="s">
        <v>90</v>
      </c>
      <c r="D35" s="137" t="s">
        <v>90</v>
      </c>
      <c r="E35" s="137" t="s">
        <v>90</v>
      </c>
      <c r="F35" s="137" t="s">
        <v>90</v>
      </c>
      <c r="G35" s="133">
        <f t="shared" si="0"/>
        <v>0</v>
      </c>
      <c r="H35" s="137" t="s">
        <v>90</v>
      </c>
      <c r="I35" s="133">
        <f t="shared" si="1"/>
        <v>0</v>
      </c>
      <c r="J35" s="137" t="s">
        <v>90</v>
      </c>
      <c r="L35" s="96" t="s">
        <v>87</v>
      </c>
      <c r="P35" s="96" t="s">
        <v>87</v>
      </c>
    </row>
    <row r="36" spans="1:16" ht="14.25" x14ac:dyDescent="0.2">
      <c r="A36" s="978" t="s">
        <v>1184</v>
      </c>
      <c r="B36" s="234">
        <v>25</v>
      </c>
      <c r="C36" s="137" t="s">
        <v>90</v>
      </c>
      <c r="D36" s="137" t="s">
        <v>90</v>
      </c>
      <c r="E36" s="137" t="s">
        <v>90</v>
      </c>
      <c r="F36" s="137" t="s">
        <v>90</v>
      </c>
      <c r="G36" s="133">
        <f t="shared" si="0"/>
        <v>0</v>
      </c>
      <c r="H36" s="137" t="s">
        <v>90</v>
      </c>
      <c r="I36" s="133">
        <f t="shared" si="1"/>
        <v>0</v>
      </c>
      <c r="J36" s="137" t="s">
        <v>90</v>
      </c>
      <c r="L36" s="96" t="s">
        <v>87</v>
      </c>
      <c r="P36" s="96" t="s">
        <v>87</v>
      </c>
    </row>
    <row r="37" spans="1:16" ht="14.25" x14ac:dyDescent="0.2">
      <c r="A37" s="978" t="s">
        <v>1185</v>
      </c>
      <c r="B37" s="234">
        <v>26</v>
      </c>
      <c r="C37" s="137" t="s">
        <v>90</v>
      </c>
      <c r="D37" s="137" t="s">
        <v>90</v>
      </c>
      <c r="E37" s="137" t="s">
        <v>90</v>
      </c>
      <c r="F37" s="137" t="s">
        <v>90</v>
      </c>
      <c r="G37" s="133">
        <f t="shared" si="0"/>
        <v>0</v>
      </c>
      <c r="H37" s="137" t="s">
        <v>90</v>
      </c>
      <c r="I37" s="133">
        <f t="shared" si="1"/>
        <v>0</v>
      </c>
      <c r="J37" s="137" t="s">
        <v>90</v>
      </c>
      <c r="L37" s="96" t="s">
        <v>87</v>
      </c>
      <c r="P37" s="96" t="s">
        <v>87</v>
      </c>
    </row>
    <row r="38" spans="1:16" ht="14.25" x14ac:dyDescent="0.2">
      <c r="A38" s="978" t="s">
        <v>1186</v>
      </c>
      <c r="B38" s="234">
        <v>27</v>
      </c>
      <c r="C38" s="137" t="s">
        <v>90</v>
      </c>
      <c r="D38" s="137" t="s">
        <v>90</v>
      </c>
      <c r="E38" s="137" t="s">
        <v>90</v>
      </c>
      <c r="F38" s="137" t="s">
        <v>90</v>
      </c>
      <c r="G38" s="133">
        <f t="shared" si="0"/>
        <v>0</v>
      </c>
      <c r="H38" s="137" t="s">
        <v>90</v>
      </c>
      <c r="I38" s="133">
        <f t="shared" si="1"/>
        <v>0</v>
      </c>
      <c r="J38" s="137" t="s">
        <v>90</v>
      </c>
      <c r="L38" s="96" t="s">
        <v>87</v>
      </c>
      <c r="P38" s="96" t="s">
        <v>87</v>
      </c>
    </row>
    <row r="39" spans="1:16" ht="14.25" x14ac:dyDescent="0.2">
      <c r="A39" s="978" t="s">
        <v>1187</v>
      </c>
      <c r="B39" s="234">
        <v>28</v>
      </c>
      <c r="C39" s="137" t="s">
        <v>90</v>
      </c>
      <c r="D39" s="137" t="s">
        <v>90</v>
      </c>
      <c r="E39" s="137" t="s">
        <v>90</v>
      </c>
      <c r="F39" s="137" t="s">
        <v>90</v>
      </c>
      <c r="G39" s="133">
        <f t="shared" si="0"/>
        <v>0</v>
      </c>
      <c r="H39" s="137" t="s">
        <v>90</v>
      </c>
      <c r="I39" s="133">
        <f t="shared" si="1"/>
        <v>0</v>
      </c>
      <c r="J39" s="137" t="s">
        <v>90</v>
      </c>
      <c r="L39" s="96" t="s">
        <v>87</v>
      </c>
      <c r="P39" s="96" t="s">
        <v>87</v>
      </c>
    </row>
    <row r="40" spans="1:16" ht="14.25" x14ac:dyDescent="0.2">
      <c r="A40" s="978" t="s">
        <v>1188</v>
      </c>
      <c r="B40" s="234">
        <v>29</v>
      </c>
      <c r="C40" s="137" t="s">
        <v>90</v>
      </c>
      <c r="D40" s="137" t="s">
        <v>90</v>
      </c>
      <c r="E40" s="137" t="s">
        <v>90</v>
      </c>
      <c r="F40" s="137" t="s">
        <v>90</v>
      </c>
      <c r="G40" s="133">
        <f t="shared" si="0"/>
        <v>0</v>
      </c>
      <c r="H40" s="137" t="s">
        <v>90</v>
      </c>
      <c r="I40" s="133">
        <f t="shared" si="1"/>
        <v>0</v>
      </c>
      <c r="J40" s="137" t="s">
        <v>90</v>
      </c>
      <c r="L40" s="96" t="s">
        <v>87</v>
      </c>
      <c r="P40" s="96" t="s">
        <v>87</v>
      </c>
    </row>
    <row r="41" spans="1:16" ht="14.25" x14ac:dyDescent="0.2">
      <c r="A41" s="978" t="s">
        <v>1189</v>
      </c>
      <c r="B41" s="234">
        <v>30</v>
      </c>
      <c r="C41" s="137" t="s">
        <v>90</v>
      </c>
      <c r="D41" s="137" t="s">
        <v>90</v>
      </c>
      <c r="E41" s="137" t="s">
        <v>90</v>
      </c>
      <c r="F41" s="137" t="s">
        <v>90</v>
      </c>
      <c r="G41" s="133">
        <f t="shared" si="0"/>
        <v>0</v>
      </c>
      <c r="H41" s="137" t="s">
        <v>90</v>
      </c>
      <c r="I41" s="133">
        <f t="shared" si="1"/>
        <v>0</v>
      </c>
      <c r="J41" s="137" t="s">
        <v>90</v>
      </c>
      <c r="L41" s="96" t="s">
        <v>87</v>
      </c>
      <c r="P41" s="96" t="s">
        <v>87</v>
      </c>
    </row>
    <row r="42" spans="1:16" ht="14.25" x14ac:dyDescent="0.2">
      <c r="A42" s="978" t="s">
        <v>1190</v>
      </c>
      <c r="B42" s="234">
        <v>31</v>
      </c>
      <c r="C42" s="137" t="s">
        <v>90</v>
      </c>
      <c r="D42" s="137" t="s">
        <v>90</v>
      </c>
      <c r="E42" s="137" t="s">
        <v>90</v>
      </c>
      <c r="F42" s="137" t="s">
        <v>90</v>
      </c>
      <c r="G42" s="133">
        <f t="shared" si="0"/>
        <v>0</v>
      </c>
      <c r="H42" s="137" t="s">
        <v>90</v>
      </c>
      <c r="I42" s="133">
        <f t="shared" si="1"/>
        <v>0</v>
      </c>
      <c r="J42" s="137" t="s">
        <v>90</v>
      </c>
      <c r="L42" s="96" t="s">
        <v>87</v>
      </c>
      <c r="P42" s="96" t="s">
        <v>87</v>
      </c>
    </row>
    <row r="43" spans="1:16" ht="14.25" x14ac:dyDescent="0.2">
      <c r="A43" s="978" t="s">
        <v>1191</v>
      </c>
      <c r="B43" s="234">
        <v>32</v>
      </c>
      <c r="C43" s="137" t="s">
        <v>90</v>
      </c>
      <c r="D43" s="137" t="s">
        <v>90</v>
      </c>
      <c r="E43" s="137" t="s">
        <v>90</v>
      </c>
      <c r="F43" s="137" t="s">
        <v>90</v>
      </c>
      <c r="G43" s="133">
        <f t="shared" si="0"/>
        <v>0</v>
      </c>
      <c r="H43" s="137" t="s">
        <v>90</v>
      </c>
      <c r="I43" s="133">
        <f t="shared" si="1"/>
        <v>0</v>
      </c>
      <c r="J43" s="137" t="s">
        <v>90</v>
      </c>
      <c r="L43" s="96" t="s">
        <v>87</v>
      </c>
      <c r="P43" s="96" t="s">
        <v>87</v>
      </c>
    </row>
    <row r="44" spans="1:16" ht="14.25" x14ac:dyDescent="0.2">
      <c r="A44" s="978" t="s">
        <v>1192</v>
      </c>
      <c r="B44" s="234">
        <v>33</v>
      </c>
      <c r="C44" s="137" t="s">
        <v>90</v>
      </c>
      <c r="D44" s="137" t="s">
        <v>90</v>
      </c>
      <c r="E44" s="137" t="s">
        <v>90</v>
      </c>
      <c r="F44" s="137" t="s">
        <v>90</v>
      </c>
      <c r="G44" s="133">
        <f t="shared" si="0"/>
        <v>0</v>
      </c>
      <c r="H44" s="137" t="s">
        <v>90</v>
      </c>
      <c r="I44" s="133">
        <f t="shared" si="1"/>
        <v>0</v>
      </c>
      <c r="J44" s="137" t="s">
        <v>90</v>
      </c>
      <c r="L44" s="96" t="s">
        <v>87</v>
      </c>
      <c r="P44" s="96" t="s">
        <v>87</v>
      </c>
    </row>
    <row r="45" spans="1:16" ht="14.25" x14ac:dyDescent="0.2">
      <c r="A45" s="978" t="s">
        <v>1193</v>
      </c>
      <c r="B45" s="234">
        <v>34</v>
      </c>
      <c r="C45" s="137" t="s">
        <v>90</v>
      </c>
      <c r="D45" s="137" t="s">
        <v>90</v>
      </c>
      <c r="E45" s="137" t="s">
        <v>90</v>
      </c>
      <c r="F45" s="137" t="s">
        <v>90</v>
      </c>
      <c r="G45" s="133">
        <f t="shared" si="0"/>
        <v>0</v>
      </c>
      <c r="H45" s="137" t="s">
        <v>90</v>
      </c>
      <c r="I45" s="133">
        <f t="shared" si="1"/>
        <v>0</v>
      </c>
      <c r="J45" s="137" t="s">
        <v>90</v>
      </c>
      <c r="L45" s="96" t="s">
        <v>87</v>
      </c>
      <c r="P45" s="96" t="s">
        <v>87</v>
      </c>
    </row>
    <row r="46" spans="1:16" ht="14.25" x14ac:dyDescent="0.2">
      <c r="A46" s="979" t="s">
        <v>1194</v>
      </c>
      <c r="B46" s="234">
        <v>35</v>
      </c>
      <c r="C46" s="139" t="s">
        <v>90</v>
      </c>
      <c r="D46" s="139" t="s">
        <v>90</v>
      </c>
      <c r="E46" s="139" t="s">
        <v>90</v>
      </c>
      <c r="F46" s="139" t="s">
        <v>90</v>
      </c>
      <c r="G46" s="313">
        <f t="shared" si="0"/>
        <v>0</v>
      </c>
      <c r="H46" s="139" t="s">
        <v>90</v>
      </c>
      <c r="I46" s="313">
        <f t="shared" si="1"/>
        <v>0</v>
      </c>
      <c r="J46" s="139" t="s">
        <v>90</v>
      </c>
      <c r="L46" s="96" t="s">
        <v>87</v>
      </c>
      <c r="P46" s="96" t="s">
        <v>87</v>
      </c>
    </row>
    <row r="47" spans="1:16" ht="15" x14ac:dyDescent="0.25">
      <c r="A47" s="980" t="s">
        <v>1195</v>
      </c>
      <c r="B47" s="234"/>
      <c r="C47" s="230"/>
      <c r="D47" s="230"/>
      <c r="E47" s="230"/>
      <c r="F47" s="230"/>
      <c r="G47" s="230"/>
      <c r="H47" s="230"/>
      <c r="I47" s="225"/>
      <c r="J47" s="742"/>
      <c r="L47" s="96" t="s">
        <v>87</v>
      </c>
      <c r="P47" s="96" t="s">
        <v>87</v>
      </c>
    </row>
    <row r="48" spans="1:16" ht="14.25" x14ac:dyDescent="0.2">
      <c r="A48" s="981"/>
      <c r="B48" s="234">
        <v>36</v>
      </c>
      <c r="C48" s="149" t="s">
        <v>90</v>
      </c>
      <c r="D48" s="149" t="s">
        <v>90</v>
      </c>
      <c r="E48" s="149" t="s">
        <v>90</v>
      </c>
      <c r="F48" s="149" t="s">
        <v>90</v>
      </c>
      <c r="G48" s="127">
        <f t="shared" ref="G48:G57" si="2">IF(SUM($C48)&gt;0,SUM($C48)-SUM(F48),0)</f>
        <v>0</v>
      </c>
      <c r="H48" s="149" t="s">
        <v>90</v>
      </c>
      <c r="I48" s="127">
        <f t="shared" ref="I48:I57" si="3">IF(SUM($C48)&lt;0,-(SUM($C48)-SUM(H48)),0)</f>
        <v>0</v>
      </c>
      <c r="J48" s="149" t="s">
        <v>90</v>
      </c>
      <c r="L48" s="96" t="s">
        <v>87</v>
      </c>
      <c r="P48" s="96" t="s">
        <v>87</v>
      </c>
    </row>
    <row r="49" spans="1:16" ht="14.25" x14ac:dyDescent="0.2">
      <c r="A49" s="981"/>
      <c r="B49" s="234">
        <v>37</v>
      </c>
      <c r="C49" s="137" t="s">
        <v>90</v>
      </c>
      <c r="D49" s="137" t="s">
        <v>90</v>
      </c>
      <c r="E49" s="137" t="s">
        <v>90</v>
      </c>
      <c r="F49" s="137" t="s">
        <v>90</v>
      </c>
      <c r="G49" s="133">
        <f t="shared" si="2"/>
        <v>0</v>
      </c>
      <c r="H49" s="137" t="s">
        <v>90</v>
      </c>
      <c r="I49" s="133">
        <f t="shared" si="3"/>
        <v>0</v>
      </c>
      <c r="J49" s="137" t="s">
        <v>90</v>
      </c>
      <c r="L49" s="96" t="s">
        <v>87</v>
      </c>
      <c r="P49" s="96" t="s">
        <v>87</v>
      </c>
    </row>
    <row r="50" spans="1:16" ht="14.25" x14ac:dyDescent="0.2">
      <c r="A50" s="981"/>
      <c r="B50" s="234">
        <v>38</v>
      </c>
      <c r="C50" s="137" t="s">
        <v>90</v>
      </c>
      <c r="D50" s="137" t="s">
        <v>90</v>
      </c>
      <c r="E50" s="137" t="s">
        <v>90</v>
      </c>
      <c r="F50" s="137" t="s">
        <v>90</v>
      </c>
      <c r="G50" s="133">
        <f t="shared" si="2"/>
        <v>0</v>
      </c>
      <c r="H50" s="137" t="s">
        <v>90</v>
      </c>
      <c r="I50" s="133">
        <f t="shared" si="3"/>
        <v>0</v>
      </c>
      <c r="J50" s="137" t="s">
        <v>90</v>
      </c>
      <c r="L50" s="96" t="s">
        <v>87</v>
      </c>
      <c r="P50" s="96" t="s">
        <v>87</v>
      </c>
    </row>
    <row r="51" spans="1:16" ht="14.25" x14ac:dyDescent="0.2">
      <c r="A51" s="981"/>
      <c r="B51" s="234">
        <v>39</v>
      </c>
      <c r="C51" s="137" t="s">
        <v>90</v>
      </c>
      <c r="D51" s="137" t="s">
        <v>90</v>
      </c>
      <c r="E51" s="137" t="s">
        <v>90</v>
      </c>
      <c r="F51" s="137" t="s">
        <v>90</v>
      </c>
      <c r="G51" s="133">
        <f t="shared" si="2"/>
        <v>0</v>
      </c>
      <c r="H51" s="137" t="s">
        <v>90</v>
      </c>
      <c r="I51" s="133">
        <f t="shared" si="3"/>
        <v>0</v>
      </c>
      <c r="J51" s="137" t="s">
        <v>90</v>
      </c>
      <c r="L51" s="96" t="s">
        <v>87</v>
      </c>
      <c r="P51" s="96" t="s">
        <v>87</v>
      </c>
    </row>
    <row r="52" spans="1:16" ht="14.25" x14ac:dyDescent="0.2">
      <c r="A52" s="981"/>
      <c r="B52" s="234">
        <v>40</v>
      </c>
      <c r="C52" s="137" t="s">
        <v>90</v>
      </c>
      <c r="D52" s="137" t="s">
        <v>90</v>
      </c>
      <c r="E52" s="137" t="s">
        <v>90</v>
      </c>
      <c r="F52" s="137" t="s">
        <v>90</v>
      </c>
      <c r="G52" s="133">
        <f t="shared" si="2"/>
        <v>0</v>
      </c>
      <c r="H52" s="137" t="s">
        <v>90</v>
      </c>
      <c r="I52" s="133">
        <f t="shared" si="3"/>
        <v>0</v>
      </c>
      <c r="J52" s="137" t="s">
        <v>90</v>
      </c>
      <c r="L52" s="96" t="s">
        <v>87</v>
      </c>
      <c r="P52" s="96" t="s">
        <v>87</v>
      </c>
    </row>
    <row r="53" spans="1:16" ht="14.25" x14ac:dyDescent="0.2">
      <c r="A53" s="981"/>
      <c r="B53" s="234">
        <v>41</v>
      </c>
      <c r="C53" s="137" t="s">
        <v>90</v>
      </c>
      <c r="D53" s="137" t="s">
        <v>90</v>
      </c>
      <c r="E53" s="137" t="s">
        <v>90</v>
      </c>
      <c r="F53" s="137" t="s">
        <v>90</v>
      </c>
      <c r="G53" s="133">
        <f t="shared" si="2"/>
        <v>0</v>
      </c>
      <c r="H53" s="137" t="s">
        <v>90</v>
      </c>
      <c r="I53" s="133">
        <f t="shared" si="3"/>
        <v>0</v>
      </c>
      <c r="J53" s="137" t="s">
        <v>90</v>
      </c>
      <c r="L53" s="96" t="s">
        <v>87</v>
      </c>
      <c r="P53" s="96" t="s">
        <v>87</v>
      </c>
    </row>
    <row r="54" spans="1:16" ht="14.25" x14ac:dyDescent="0.2">
      <c r="A54" s="981"/>
      <c r="B54" s="234">
        <v>42</v>
      </c>
      <c r="C54" s="137" t="s">
        <v>90</v>
      </c>
      <c r="D54" s="137" t="s">
        <v>90</v>
      </c>
      <c r="E54" s="137" t="s">
        <v>90</v>
      </c>
      <c r="F54" s="137" t="s">
        <v>90</v>
      </c>
      <c r="G54" s="133">
        <f t="shared" si="2"/>
        <v>0</v>
      </c>
      <c r="H54" s="137" t="s">
        <v>90</v>
      </c>
      <c r="I54" s="133">
        <f t="shared" si="3"/>
        <v>0</v>
      </c>
      <c r="J54" s="137" t="s">
        <v>90</v>
      </c>
      <c r="L54" s="96" t="s">
        <v>87</v>
      </c>
      <c r="P54" s="96" t="s">
        <v>87</v>
      </c>
    </row>
    <row r="55" spans="1:16" ht="14.25" x14ac:dyDescent="0.2">
      <c r="A55" s="981"/>
      <c r="B55" s="234">
        <v>43</v>
      </c>
      <c r="C55" s="137" t="s">
        <v>90</v>
      </c>
      <c r="D55" s="137" t="s">
        <v>90</v>
      </c>
      <c r="E55" s="137" t="s">
        <v>90</v>
      </c>
      <c r="F55" s="137" t="s">
        <v>90</v>
      </c>
      <c r="G55" s="133">
        <f t="shared" si="2"/>
        <v>0</v>
      </c>
      <c r="H55" s="137" t="s">
        <v>90</v>
      </c>
      <c r="I55" s="133">
        <f t="shared" si="3"/>
        <v>0</v>
      </c>
      <c r="J55" s="137" t="s">
        <v>90</v>
      </c>
      <c r="L55" s="96" t="s">
        <v>87</v>
      </c>
      <c r="P55" s="96" t="s">
        <v>87</v>
      </c>
    </row>
    <row r="56" spans="1:16" ht="14.25" x14ac:dyDescent="0.2">
      <c r="A56" s="981"/>
      <c r="B56" s="234">
        <v>44</v>
      </c>
      <c r="C56" s="137" t="s">
        <v>90</v>
      </c>
      <c r="D56" s="137" t="s">
        <v>90</v>
      </c>
      <c r="E56" s="137" t="s">
        <v>90</v>
      </c>
      <c r="F56" s="137" t="s">
        <v>90</v>
      </c>
      <c r="G56" s="133">
        <f t="shared" si="2"/>
        <v>0</v>
      </c>
      <c r="H56" s="137" t="s">
        <v>90</v>
      </c>
      <c r="I56" s="133">
        <f t="shared" si="3"/>
        <v>0</v>
      </c>
      <c r="J56" s="137" t="s">
        <v>90</v>
      </c>
      <c r="L56" s="96" t="s">
        <v>87</v>
      </c>
      <c r="P56" s="96" t="s">
        <v>87</v>
      </c>
    </row>
    <row r="57" spans="1:16" ht="14.25" x14ac:dyDescent="0.2">
      <c r="A57" s="981"/>
      <c r="B57" s="261">
        <v>45</v>
      </c>
      <c r="C57" s="139" t="s">
        <v>90</v>
      </c>
      <c r="D57" s="139" t="s">
        <v>90</v>
      </c>
      <c r="E57" s="139" t="s">
        <v>90</v>
      </c>
      <c r="F57" s="139" t="s">
        <v>90</v>
      </c>
      <c r="G57" s="313">
        <f t="shared" si="2"/>
        <v>0</v>
      </c>
      <c r="H57" s="139" t="s">
        <v>90</v>
      </c>
      <c r="I57" s="313">
        <f t="shared" si="3"/>
        <v>0</v>
      </c>
      <c r="J57" s="139" t="s">
        <v>90</v>
      </c>
      <c r="L57" s="96" t="s">
        <v>87</v>
      </c>
      <c r="P57" s="96" t="s">
        <v>87</v>
      </c>
    </row>
    <row r="58" spans="1:16" ht="14.25" x14ac:dyDescent="0.2">
      <c r="L58" s="96" t="s">
        <v>87</v>
      </c>
      <c r="P58" s="96" t="s">
        <v>87</v>
      </c>
    </row>
    <row r="59" spans="1:16" ht="14.25" x14ac:dyDescent="0.2">
      <c r="L59" s="96" t="s">
        <v>87</v>
      </c>
      <c r="P59" s="96" t="s">
        <v>87</v>
      </c>
    </row>
    <row r="60" spans="1:16" ht="14.25" x14ac:dyDescent="0.2">
      <c r="A60" s="96" t="s">
        <v>87</v>
      </c>
      <c r="B60" s="96" t="s">
        <v>87</v>
      </c>
      <c r="C60" s="96" t="s">
        <v>87</v>
      </c>
      <c r="D60" s="96" t="s">
        <v>87</v>
      </c>
      <c r="E60" s="96" t="s">
        <v>87</v>
      </c>
      <c r="F60" s="96" t="s">
        <v>87</v>
      </c>
      <c r="G60" s="96" t="s">
        <v>87</v>
      </c>
      <c r="H60" s="96" t="s">
        <v>87</v>
      </c>
      <c r="I60" s="96" t="s">
        <v>87</v>
      </c>
      <c r="J60" s="96" t="s">
        <v>87</v>
      </c>
      <c r="K60" s="96" t="s">
        <v>87</v>
      </c>
      <c r="L60" s="96" t="s">
        <v>87</v>
      </c>
      <c r="M60" s="96" t="s">
        <v>87</v>
      </c>
      <c r="N60" s="96" t="s">
        <v>87</v>
      </c>
      <c r="O60" s="96" t="s">
        <v>87</v>
      </c>
      <c r="P60" s="96" t="s">
        <v>87</v>
      </c>
    </row>
  </sheetData>
  <pageMargins left="0.70866141732283472" right="0.70866141732283472" top="0.74803149606299213" bottom="0.74803149606299213" header="0.31496062992125984" footer="0.31496062992125984"/>
  <pageSetup orientation="landscape" r:id="rId1"/>
  <headerFooter>
    <oddFooter>&amp;A&amp;RPage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1:K49"/>
  <sheetViews>
    <sheetView topLeftCell="A5" zoomScaleNormal="100" workbookViewId="0">
      <selection activeCell="A5" sqref="A5"/>
    </sheetView>
  </sheetViews>
  <sheetFormatPr defaultRowHeight="12.75" x14ac:dyDescent="0.2"/>
  <cols>
    <col min="1" max="1" width="31.7109375" customWidth="1"/>
    <col min="2" max="2" width="9.42578125" customWidth="1"/>
    <col min="3" max="3" width="4.85546875" customWidth="1"/>
    <col min="4" max="4" width="12.140625" customWidth="1"/>
    <col min="5" max="5" width="8.7109375" customWidth="1"/>
    <col min="6" max="6" width="10.28515625" customWidth="1"/>
    <col min="7" max="9" width="8.7109375" customWidth="1"/>
    <col min="10" max="10" width="2.140625" customWidth="1"/>
    <col min="11" max="11" width="2" customWidth="1"/>
  </cols>
  <sheetData>
    <row r="1" spans="1:11" ht="14.25" x14ac:dyDescent="0.2">
      <c r="A1" s="93" t="str">
        <f>FT15.Participant!$A$1</f>
        <v>&lt;IAIG's Name&gt;</v>
      </c>
      <c r="B1" s="94"/>
      <c r="C1" s="94"/>
      <c r="D1" s="94"/>
      <c r="E1" s="94"/>
      <c r="F1" s="94"/>
      <c r="G1" s="94"/>
      <c r="H1" s="94"/>
      <c r="I1" s="95" t="str">
        <f ca="1">HYPERLINK("#"&amp;CELL("address",FT15.IndexSheet),Version)</f>
        <v>2015 IAIS Field Testing Template</v>
      </c>
      <c r="J1" s="571"/>
      <c r="K1" s="96" t="s">
        <v>87</v>
      </c>
    </row>
    <row r="2" spans="1:11" ht="15" x14ac:dyDescent="0.25">
      <c r="A2" s="97" t="str">
        <f>FT15.Participant!$A$2</f>
        <v>&lt;Currency&gt; - (&lt;Unit&gt;)</v>
      </c>
      <c r="B2" s="967"/>
      <c r="C2" s="98" t="s">
        <v>1196</v>
      </c>
      <c r="D2" s="98"/>
      <c r="E2" s="99"/>
      <c r="F2" s="99"/>
      <c r="G2" s="99"/>
      <c r="H2" s="99"/>
      <c r="I2" s="100" t="str">
        <f>FT15.Participant!$E$2</f>
        <v xml:space="preserve">&lt;Reporting Date&gt; - </v>
      </c>
      <c r="J2" s="982"/>
      <c r="K2" s="96" t="s">
        <v>87</v>
      </c>
    </row>
    <row r="3" spans="1:11" ht="14.25" x14ac:dyDescent="0.2">
      <c r="A3" s="571"/>
      <c r="B3" s="982"/>
      <c r="C3" s="982"/>
      <c r="D3" s="571"/>
      <c r="E3" s="571"/>
      <c r="F3" s="571"/>
      <c r="G3" s="571"/>
      <c r="H3" s="571"/>
      <c r="I3" s="571"/>
      <c r="J3" s="982"/>
      <c r="K3" s="96" t="s">
        <v>87</v>
      </c>
    </row>
    <row r="4" spans="1:11" ht="14.25" x14ac:dyDescent="0.2">
      <c r="A4" s="571"/>
      <c r="B4" s="982"/>
      <c r="C4" s="982"/>
      <c r="D4" s="571"/>
      <c r="E4" s="571"/>
      <c r="F4" s="571"/>
      <c r="G4" s="571"/>
      <c r="H4" s="571"/>
      <c r="I4" s="571"/>
      <c r="J4" s="982"/>
      <c r="K4" s="96" t="s">
        <v>87</v>
      </c>
    </row>
    <row r="5" spans="1:11" ht="14.25" x14ac:dyDescent="0.2">
      <c r="A5" s="983" t="s">
        <v>1197</v>
      </c>
      <c r="B5" s="984"/>
      <c r="C5" s="958"/>
      <c r="D5" s="278"/>
      <c r="E5" s="571"/>
      <c r="F5" s="571"/>
      <c r="G5" s="571"/>
      <c r="H5" s="571"/>
      <c r="I5" s="571"/>
      <c r="J5" s="982"/>
      <c r="K5" s="96" t="s">
        <v>87</v>
      </c>
    </row>
    <row r="6" spans="1:11" ht="14.25" x14ac:dyDescent="0.2">
      <c r="A6" s="985"/>
      <c r="B6" s="986"/>
      <c r="C6" s="104">
        <v>104</v>
      </c>
      <c r="D6" s="106">
        <v>1</v>
      </c>
      <c r="E6" s="982"/>
      <c r="F6" s="982"/>
      <c r="G6" s="571"/>
      <c r="H6" s="571"/>
      <c r="I6" s="571"/>
      <c r="J6" s="982"/>
      <c r="K6" s="96" t="s">
        <v>87</v>
      </c>
    </row>
    <row r="7" spans="1:11" ht="14.25" x14ac:dyDescent="0.2">
      <c r="A7" s="707" t="s">
        <v>1198</v>
      </c>
      <c r="B7" s="708"/>
      <c r="C7" s="169">
        <v>1</v>
      </c>
      <c r="D7" s="172">
        <f>SUM(I22:I25)</f>
        <v>0</v>
      </c>
      <c r="E7" s="982"/>
      <c r="F7" s="982"/>
      <c r="G7" s="571"/>
      <c r="H7" s="571"/>
      <c r="I7" s="571"/>
      <c r="J7" s="982"/>
      <c r="K7" s="96" t="s">
        <v>87</v>
      </c>
    </row>
    <row r="8" spans="1:11" ht="14.25" x14ac:dyDescent="0.2">
      <c r="A8" s="662" t="s">
        <v>1199</v>
      </c>
      <c r="B8" s="987"/>
      <c r="C8" s="162">
        <v>2</v>
      </c>
      <c r="D8" s="153">
        <f>SUM(I38:I41)</f>
        <v>0</v>
      </c>
      <c r="E8" s="982"/>
      <c r="F8" s="982"/>
      <c r="G8" s="571"/>
      <c r="H8" s="571"/>
      <c r="I8" s="571"/>
      <c r="J8" s="982"/>
      <c r="K8" s="96" t="s">
        <v>87</v>
      </c>
    </row>
    <row r="9" spans="1:11" ht="14.25" x14ac:dyDescent="0.2">
      <c r="A9" s="571"/>
      <c r="B9" s="982"/>
      <c r="C9" s="982"/>
      <c r="D9" s="982"/>
      <c r="E9" s="982"/>
      <c r="F9" s="982"/>
      <c r="G9" s="571"/>
      <c r="H9" s="571"/>
      <c r="I9" s="571"/>
      <c r="J9" s="982"/>
      <c r="K9" s="96" t="s">
        <v>87</v>
      </c>
    </row>
    <row r="10" spans="1:11" ht="15" x14ac:dyDescent="0.25">
      <c r="A10" s="653" t="s">
        <v>1200</v>
      </c>
      <c r="B10" s="708"/>
      <c r="C10" s="988"/>
      <c r="D10" s="944" t="s">
        <v>1201</v>
      </c>
      <c r="E10" s="944" t="s">
        <v>680</v>
      </c>
      <c r="F10" s="278" t="s">
        <v>1202</v>
      </c>
      <c r="J10" s="982"/>
      <c r="K10" s="96" t="s">
        <v>87</v>
      </c>
    </row>
    <row r="11" spans="1:11" ht="14.25" x14ac:dyDescent="0.2">
      <c r="A11" s="720"/>
      <c r="B11" s="709"/>
      <c r="C11" s="124">
        <v>105</v>
      </c>
      <c r="D11" s="105">
        <v>1</v>
      </c>
      <c r="E11" s="105">
        <v>2</v>
      </c>
      <c r="F11" s="106" t="s">
        <v>1203</v>
      </c>
      <c r="G11" s="148"/>
      <c r="H11" s="148"/>
      <c r="I11" s="148"/>
      <c r="J11" s="982"/>
      <c r="K11" s="96" t="s">
        <v>87</v>
      </c>
    </row>
    <row r="12" spans="1:11" ht="21" customHeight="1" x14ac:dyDescent="0.2">
      <c r="A12" s="1501" t="s">
        <v>1204</v>
      </c>
      <c r="B12" s="1502"/>
      <c r="C12" s="945">
        <v>1</v>
      </c>
      <c r="D12" s="1505" t="s">
        <v>90</v>
      </c>
      <c r="E12" s="645">
        <v>0.03</v>
      </c>
      <c r="F12" s="282">
        <f>SUM(D12)*SUM(E12)</f>
        <v>0</v>
      </c>
      <c r="G12" s="148"/>
      <c r="H12" s="148"/>
      <c r="I12" s="148"/>
      <c r="J12" s="982"/>
      <c r="K12" s="96" t="s">
        <v>87</v>
      </c>
    </row>
    <row r="13" spans="1:11" ht="22.5" customHeight="1" x14ac:dyDescent="0.2">
      <c r="A13" s="1503"/>
      <c r="B13" s="1504"/>
      <c r="C13" s="989">
        <v>2</v>
      </c>
      <c r="D13" s="1506"/>
      <c r="E13" s="990">
        <v>1.4999999999999999E-2</v>
      </c>
      <c r="F13" s="153">
        <f>SUM(D12)*SUM(E13)</f>
        <v>0</v>
      </c>
      <c r="G13" s="148"/>
      <c r="H13" s="148"/>
      <c r="I13" s="148"/>
      <c r="J13" s="982"/>
      <c r="K13" s="96" t="s">
        <v>87</v>
      </c>
    </row>
    <row r="14" spans="1:11" ht="15.75" customHeight="1" x14ac:dyDescent="0.2">
      <c r="A14" s="1501" t="s">
        <v>1205</v>
      </c>
      <c r="B14" s="764"/>
      <c r="C14" s="945">
        <v>3</v>
      </c>
      <c r="D14" s="1507">
        <f>SUM(ICS!E16)</f>
        <v>0</v>
      </c>
      <c r="E14" s="645">
        <v>0.25</v>
      </c>
      <c r="F14" s="282">
        <f>SUM(D14)*SUM(E14)</f>
        <v>0</v>
      </c>
      <c r="G14" s="148"/>
      <c r="H14" s="148"/>
      <c r="I14" s="148"/>
      <c r="J14" s="982"/>
      <c r="K14" s="96" t="s">
        <v>87</v>
      </c>
    </row>
    <row r="15" spans="1:11" ht="14.25" x14ac:dyDescent="0.2">
      <c r="A15" s="1503"/>
      <c r="B15" s="775"/>
      <c r="C15" s="989">
        <v>4</v>
      </c>
      <c r="D15" s="1508"/>
      <c r="E15" s="646">
        <v>0.15</v>
      </c>
      <c r="F15" s="153">
        <f>SUM(D14)*SUM(E15)</f>
        <v>0</v>
      </c>
      <c r="G15" s="148"/>
      <c r="H15" s="148"/>
      <c r="I15" s="148"/>
      <c r="J15" s="982"/>
      <c r="K15" s="96" t="s">
        <v>87</v>
      </c>
    </row>
    <row r="16" spans="1:11" ht="14.25" x14ac:dyDescent="0.2">
      <c r="G16" s="148"/>
      <c r="H16" s="148"/>
      <c r="I16" s="148"/>
      <c r="J16" s="982"/>
      <c r="K16" s="96" t="s">
        <v>87</v>
      </c>
    </row>
    <row r="17" spans="1:11" ht="15" x14ac:dyDescent="0.25">
      <c r="A17" s="991"/>
      <c r="B17" s="982"/>
      <c r="C17" s="982"/>
      <c r="D17" s="992" t="s">
        <v>1198</v>
      </c>
      <c r="E17" s="993"/>
      <c r="F17" s="993"/>
      <c r="G17" s="993"/>
      <c r="H17" s="993"/>
      <c r="I17" s="994"/>
      <c r="J17" s="571"/>
      <c r="K17" s="96" t="s">
        <v>87</v>
      </c>
    </row>
    <row r="18" spans="1:11" ht="14.45" customHeight="1" x14ac:dyDescent="0.2">
      <c r="A18" s="1421" t="s">
        <v>1206</v>
      </c>
      <c r="B18" s="1424" t="s">
        <v>1207</v>
      </c>
      <c r="C18" s="1438"/>
      <c r="D18" s="1438"/>
      <c r="E18" s="1438"/>
      <c r="F18" s="1438"/>
      <c r="G18" s="1425"/>
      <c r="H18" s="1496" t="s">
        <v>1208</v>
      </c>
      <c r="I18" s="1497" t="s">
        <v>1209</v>
      </c>
      <c r="J18" s="571"/>
      <c r="K18" s="96" t="s">
        <v>87</v>
      </c>
    </row>
    <row r="19" spans="1:11" ht="14.25" x14ac:dyDescent="0.2">
      <c r="A19" s="1422"/>
      <c r="B19" s="1430"/>
      <c r="C19" s="1500"/>
      <c r="D19" s="1500"/>
      <c r="E19" s="1500"/>
      <c r="F19" s="1500"/>
      <c r="G19" s="1431"/>
      <c r="H19" s="1496"/>
      <c r="I19" s="1498"/>
      <c r="J19" s="571"/>
      <c r="K19" s="96" t="s">
        <v>87</v>
      </c>
    </row>
    <row r="20" spans="1:11" ht="82.5" customHeight="1" x14ac:dyDescent="0.2">
      <c r="A20" s="1422"/>
      <c r="B20" s="340" t="s">
        <v>1210</v>
      </c>
      <c r="C20" s="824"/>
      <c r="D20" s="655" t="s">
        <v>1211</v>
      </c>
      <c r="E20" s="655" t="s">
        <v>1212</v>
      </c>
      <c r="F20" s="655" t="s">
        <v>1213</v>
      </c>
      <c r="G20" s="655" t="s">
        <v>1214</v>
      </c>
      <c r="H20" s="1496"/>
      <c r="I20" s="1499"/>
      <c r="J20" s="571"/>
      <c r="K20" s="96" t="s">
        <v>87</v>
      </c>
    </row>
    <row r="21" spans="1:11" ht="13.5" customHeight="1" x14ac:dyDescent="0.2">
      <c r="A21" s="995"/>
      <c r="B21" s="996"/>
      <c r="C21" s="124">
        <v>106</v>
      </c>
      <c r="D21" s="105">
        <v>1</v>
      </c>
      <c r="E21" s="105">
        <v>2</v>
      </c>
      <c r="F21" s="105">
        <v>3</v>
      </c>
      <c r="G21" s="105">
        <v>4</v>
      </c>
      <c r="H21" s="105">
        <v>5</v>
      </c>
      <c r="I21" s="106" t="s">
        <v>1215</v>
      </c>
      <c r="J21" s="571"/>
      <c r="K21" s="96" t="s">
        <v>87</v>
      </c>
    </row>
    <row r="22" spans="1:11" ht="15" customHeight="1" x14ac:dyDescent="0.2">
      <c r="A22" s="1421" t="s">
        <v>1216</v>
      </c>
      <c r="B22" s="997" t="s">
        <v>1217</v>
      </c>
      <c r="C22" s="234">
        <v>1</v>
      </c>
      <c r="D22" s="998">
        <f>F12</f>
        <v>0</v>
      </c>
      <c r="E22" s="144" t="s">
        <v>90</v>
      </c>
      <c r="F22" s="144" t="s">
        <v>90</v>
      </c>
      <c r="G22" s="144" t="s">
        <v>90</v>
      </c>
      <c r="H22" s="999">
        <v>0.15</v>
      </c>
      <c r="I22" s="565">
        <f>SUM(G22)*SUM(H22)</f>
        <v>0</v>
      </c>
      <c r="J22" s="571"/>
      <c r="K22" s="96" t="s">
        <v>87</v>
      </c>
    </row>
    <row r="23" spans="1:11" ht="14.25" x14ac:dyDescent="0.2">
      <c r="A23" s="1422"/>
      <c r="B23" s="1000" t="s">
        <v>1218</v>
      </c>
      <c r="C23" s="234">
        <v>2</v>
      </c>
      <c r="D23" s="998">
        <f>F12</f>
        <v>0</v>
      </c>
      <c r="E23" s="144" t="s">
        <v>90</v>
      </c>
      <c r="F23" s="144" t="s">
        <v>90</v>
      </c>
      <c r="G23" s="144" t="s">
        <v>90</v>
      </c>
      <c r="H23" s="999">
        <v>0.25</v>
      </c>
      <c r="I23" s="565">
        <f>SUM(G23)*SUM(H23)</f>
        <v>0</v>
      </c>
      <c r="J23" s="571"/>
      <c r="K23" s="96" t="s">
        <v>87</v>
      </c>
    </row>
    <row r="24" spans="1:11" ht="14.25" x14ac:dyDescent="0.2">
      <c r="A24" s="1423"/>
      <c r="B24" s="481" t="s">
        <v>1219</v>
      </c>
      <c r="C24" s="234">
        <v>3</v>
      </c>
      <c r="D24" s="895">
        <f>F13</f>
        <v>0</v>
      </c>
      <c r="E24" s="144" t="s">
        <v>90</v>
      </c>
      <c r="F24" s="144" t="s">
        <v>90</v>
      </c>
      <c r="G24" s="144" t="s">
        <v>90</v>
      </c>
      <c r="H24" s="999">
        <v>0.5</v>
      </c>
      <c r="I24" s="565">
        <f>SUM(G24)*SUM(H24)</f>
        <v>0</v>
      </c>
      <c r="J24" s="571"/>
      <c r="K24" s="96" t="s">
        <v>87</v>
      </c>
    </row>
    <row r="25" spans="1:11" ht="15.6" customHeight="1" x14ac:dyDescent="0.25">
      <c r="A25" s="1001" t="s">
        <v>193</v>
      </c>
      <c r="B25" s="293"/>
      <c r="C25" s="261">
        <v>4</v>
      </c>
      <c r="D25" s="998">
        <f>F12</f>
        <v>0</v>
      </c>
      <c r="E25" s="139" t="s">
        <v>90</v>
      </c>
      <c r="F25" s="1002"/>
      <c r="G25" s="139" t="s">
        <v>90</v>
      </c>
      <c r="H25" s="646">
        <v>0.25</v>
      </c>
      <c r="I25" s="153">
        <f>SUM(G25)*SUM(H25)</f>
        <v>0</v>
      </c>
      <c r="J25" s="1003"/>
      <c r="K25" s="96" t="s">
        <v>87</v>
      </c>
    </row>
    <row r="26" spans="1:11" ht="15" x14ac:dyDescent="0.25">
      <c r="J26" s="1003"/>
      <c r="K26" s="96" t="s">
        <v>87</v>
      </c>
    </row>
    <row r="27" spans="1:11" ht="14.25" x14ac:dyDescent="0.2">
      <c r="A27" s="1004" t="s">
        <v>1220</v>
      </c>
      <c r="B27" s="1005"/>
      <c r="C27" s="1005"/>
      <c r="D27" s="1005"/>
      <c r="E27" s="1005"/>
      <c r="F27" s="1005"/>
      <c r="G27" s="1006"/>
      <c r="H27" s="719"/>
      <c r="I27" s="719"/>
      <c r="J27" s="1007"/>
      <c r="K27" s="96" t="s">
        <v>87</v>
      </c>
    </row>
    <row r="28" spans="1:11" ht="14.25" x14ac:dyDescent="0.2">
      <c r="A28" s="1421" t="s">
        <v>1221</v>
      </c>
      <c r="B28" s="1008" t="s">
        <v>1217</v>
      </c>
      <c r="C28" s="1009">
        <v>5</v>
      </c>
      <c r="D28" s="1493">
        <f>F13</f>
        <v>0</v>
      </c>
      <c r="E28" s="144" t="s">
        <v>90</v>
      </c>
      <c r="F28" s="144" t="s">
        <v>90</v>
      </c>
      <c r="G28" s="144" t="s">
        <v>90</v>
      </c>
      <c r="H28" s="719"/>
      <c r="I28" s="719"/>
      <c r="J28" s="571"/>
      <c r="K28" s="96" t="s">
        <v>87</v>
      </c>
    </row>
    <row r="29" spans="1:11" ht="14.25" x14ac:dyDescent="0.2">
      <c r="A29" s="1422"/>
      <c r="B29" s="1010" t="s">
        <v>1218</v>
      </c>
      <c r="C29" s="234">
        <v>6</v>
      </c>
      <c r="D29" s="1494"/>
      <c r="E29" s="144" t="s">
        <v>90</v>
      </c>
      <c r="F29" s="144" t="s">
        <v>90</v>
      </c>
      <c r="G29" s="144" t="s">
        <v>90</v>
      </c>
      <c r="H29" s="719"/>
      <c r="I29" s="719"/>
      <c r="J29" s="1007"/>
      <c r="K29" s="96" t="s">
        <v>87</v>
      </c>
    </row>
    <row r="30" spans="1:11" ht="14.25" x14ac:dyDescent="0.2">
      <c r="A30" s="1423"/>
      <c r="B30" s="1011" t="s">
        <v>1222</v>
      </c>
      <c r="C30" s="234">
        <v>7</v>
      </c>
      <c r="D30" s="1495"/>
      <c r="E30" s="144" t="s">
        <v>90</v>
      </c>
      <c r="F30" s="144" t="s">
        <v>90</v>
      </c>
      <c r="G30" s="144" t="s">
        <v>90</v>
      </c>
      <c r="H30" s="719"/>
      <c r="I30" s="719"/>
      <c r="J30" s="571"/>
      <c r="K30" s="96" t="s">
        <v>87</v>
      </c>
    </row>
    <row r="31" spans="1:11" ht="15" x14ac:dyDescent="0.25">
      <c r="A31" s="778" t="s">
        <v>1223</v>
      </c>
      <c r="B31" s="293"/>
      <c r="C31" s="261">
        <v>8</v>
      </c>
      <c r="D31" s="1012"/>
      <c r="E31" s="139" t="s">
        <v>90</v>
      </c>
      <c r="F31" s="1002"/>
      <c r="G31" s="139" t="s">
        <v>90</v>
      </c>
      <c r="H31" s="719"/>
      <c r="I31" s="719"/>
      <c r="J31" s="1007"/>
      <c r="K31" s="96" t="s">
        <v>87</v>
      </c>
    </row>
    <row r="32" spans="1:11" ht="14.25" x14ac:dyDescent="0.2">
      <c r="B32" s="719"/>
      <c r="C32" s="719"/>
      <c r="D32" s="719"/>
      <c r="E32" s="719"/>
      <c r="F32" s="719"/>
      <c r="G32" s="719"/>
      <c r="H32" s="719"/>
      <c r="I32" s="719"/>
      <c r="J32" s="1007"/>
      <c r="K32" s="96" t="s">
        <v>87</v>
      </c>
    </row>
    <row r="33" spans="1:11" ht="15" x14ac:dyDescent="0.25">
      <c r="A33" s="1013"/>
      <c r="B33" s="1007"/>
      <c r="C33" s="1007"/>
      <c r="D33" s="992" t="s">
        <v>1224</v>
      </c>
      <c r="E33" s="993"/>
      <c r="F33" s="993"/>
      <c r="G33" s="993"/>
      <c r="H33" s="993"/>
      <c r="I33" s="994"/>
      <c r="J33" s="1014"/>
      <c r="K33" s="96" t="s">
        <v>87</v>
      </c>
    </row>
    <row r="34" spans="1:11" ht="15" customHeight="1" x14ac:dyDescent="0.25">
      <c r="A34" s="1421" t="s">
        <v>1206</v>
      </c>
      <c r="B34" s="1424" t="s">
        <v>1207</v>
      </c>
      <c r="C34" s="1438"/>
      <c r="D34" s="1438"/>
      <c r="E34" s="1438"/>
      <c r="F34" s="1438"/>
      <c r="G34" s="1425"/>
      <c r="H34" s="1496" t="s">
        <v>1208</v>
      </c>
      <c r="I34" s="1497" t="s">
        <v>1209</v>
      </c>
      <c r="J34" s="1015"/>
      <c r="K34" s="96" t="s">
        <v>87</v>
      </c>
    </row>
    <row r="35" spans="1:11" ht="14.25" customHeight="1" x14ac:dyDescent="0.2">
      <c r="A35" s="1422"/>
      <c r="B35" s="1430"/>
      <c r="C35" s="1500"/>
      <c r="D35" s="1500"/>
      <c r="E35" s="1500"/>
      <c r="F35" s="1500"/>
      <c r="G35" s="1431"/>
      <c r="H35" s="1496"/>
      <c r="I35" s="1498"/>
      <c r="J35" s="1007"/>
      <c r="K35" s="96" t="s">
        <v>87</v>
      </c>
    </row>
    <row r="36" spans="1:11" s="1017" customFormat="1" ht="75.75" customHeight="1" x14ac:dyDescent="0.25">
      <c r="A36" s="1422"/>
      <c r="B36" s="340" t="s">
        <v>1210</v>
      </c>
      <c r="C36" s="824"/>
      <c r="D36" s="655" t="s">
        <v>1211</v>
      </c>
      <c r="E36" s="655" t="s">
        <v>1212</v>
      </c>
      <c r="F36" s="655" t="s">
        <v>1213</v>
      </c>
      <c r="G36" s="655" t="s">
        <v>1214</v>
      </c>
      <c r="H36" s="1496"/>
      <c r="I36" s="1499"/>
      <c r="J36" s="1016"/>
      <c r="K36" s="96" t="s">
        <v>87</v>
      </c>
    </row>
    <row r="37" spans="1:11" ht="15" x14ac:dyDescent="0.25">
      <c r="A37" s="995"/>
      <c r="B37" s="996"/>
      <c r="C37" s="124">
        <v>107</v>
      </c>
      <c r="D37" s="105">
        <v>1</v>
      </c>
      <c r="E37" s="105">
        <v>2</v>
      </c>
      <c r="F37" s="105">
        <v>3</v>
      </c>
      <c r="G37" s="105">
        <v>4</v>
      </c>
      <c r="H37" s="105">
        <v>5</v>
      </c>
      <c r="I37" s="106" t="s">
        <v>1215</v>
      </c>
      <c r="J37" s="1014"/>
      <c r="K37" s="96" t="s">
        <v>87</v>
      </c>
    </row>
    <row r="38" spans="1:11" ht="15" x14ac:dyDescent="0.25">
      <c r="A38" s="1421" t="s">
        <v>1216</v>
      </c>
      <c r="B38" s="1018" t="s">
        <v>1217</v>
      </c>
      <c r="C38" s="234">
        <v>1</v>
      </c>
      <c r="D38" s="998">
        <f>F14</f>
        <v>0</v>
      </c>
      <c r="E38" s="144" t="s">
        <v>90</v>
      </c>
      <c r="F38" s="144" t="s">
        <v>90</v>
      </c>
      <c r="G38" s="144" t="s">
        <v>90</v>
      </c>
      <c r="H38" s="999">
        <v>0.15</v>
      </c>
      <c r="I38" s="565">
        <f>SUM(G38)*SUM(H38)</f>
        <v>0</v>
      </c>
      <c r="J38" s="1014"/>
      <c r="K38" s="96" t="s">
        <v>87</v>
      </c>
    </row>
    <row r="39" spans="1:11" ht="15.6" customHeight="1" x14ac:dyDescent="0.25">
      <c r="A39" s="1422"/>
      <c r="B39" s="1019" t="s">
        <v>1218</v>
      </c>
      <c r="C39" s="234">
        <v>2</v>
      </c>
      <c r="D39" s="998">
        <f>F14</f>
        <v>0</v>
      </c>
      <c r="E39" s="144" t="s">
        <v>90</v>
      </c>
      <c r="F39" s="144" t="s">
        <v>90</v>
      </c>
      <c r="G39" s="144" t="s">
        <v>90</v>
      </c>
      <c r="H39" s="999">
        <v>0.25</v>
      </c>
      <c r="I39" s="565">
        <f>SUM(G39)*SUM(H39)</f>
        <v>0</v>
      </c>
      <c r="J39" s="1014"/>
      <c r="K39" s="96" t="s">
        <v>87</v>
      </c>
    </row>
    <row r="40" spans="1:11" ht="15" x14ac:dyDescent="0.25">
      <c r="A40" s="1423"/>
      <c r="B40" s="907" t="s">
        <v>1219</v>
      </c>
      <c r="C40" s="234">
        <v>3</v>
      </c>
      <c r="D40" s="895">
        <f>F15</f>
        <v>0</v>
      </c>
      <c r="E40" s="144" t="s">
        <v>90</v>
      </c>
      <c r="F40" s="144" t="s">
        <v>90</v>
      </c>
      <c r="G40" s="144" t="s">
        <v>90</v>
      </c>
      <c r="H40" s="999">
        <v>0.5</v>
      </c>
      <c r="I40" s="565">
        <f>SUM(G40)*SUM(H40)</f>
        <v>0</v>
      </c>
      <c r="J40" s="1014"/>
      <c r="K40" s="96" t="s">
        <v>87</v>
      </c>
    </row>
    <row r="41" spans="1:11" ht="15" x14ac:dyDescent="0.25">
      <c r="A41" s="722" t="s">
        <v>193</v>
      </c>
      <c r="B41" s="1020"/>
      <c r="C41" s="261">
        <v>4</v>
      </c>
      <c r="D41" s="998">
        <f>F14</f>
        <v>0</v>
      </c>
      <c r="E41" s="139" t="s">
        <v>90</v>
      </c>
      <c r="F41" s="1002"/>
      <c r="G41" s="139" t="s">
        <v>90</v>
      </c>
      <c r="H41" s="646">
        <v>0.25</v>
      </c>
      <c r="I41" s="153">
        <f>SUM(G41)*SUM(H41)</f>
        <v>0</v>
      </c>
      <c r="J41" s="1014"/>
      <c r="K41" s="96" t="s">
        <v>87</v>
      </c>
    </row>
    <row r="42" spans="1:11" ht="15" x14ac:dyDescent="0.25">
      <c r="J42" s="1014"/>
      <c r="K42" s="96" t="s">
        <v>87</v>
      </c>
    </row>
    <row r="43" spans="1:11" ht="14.25" x14ac:dyDescent="0.2">
      <c r="A43" s="1004" t="s">
        <v>1220</v>
      </c>
      <c r="B43" s="1005"/>
      <c r="C43" s="1005"/>
      <c r="D43" s="1005"/>
      <c r="E43" s="1005"/>
      <c r="F43" s="1005"/>
      <c r="G43" s="1006"/>
      <c r="H43" s="719"/>
      <c r="I43" s="719"/>
      <c r="J43" s="1007"/>
      <c r="K43" s="96" t="s">
        <v>87</v>
      </c>
    </row>
    <row r="44" spans="1:11" ht="15.75" customHeight="1" x14ac:dyDescent="0.25">
      <c r="A44" s="1421" t="s">
        <v>1221</v>
      </c>
      <c r="B44" s="1008" t="s">
        <v>1217</v>
      </c>
      <c r="C44" s="1009">
        <v>5</v>
      </c>
      <c r="D44" s="1493">
        <f>F15</f>
        <v>0</v>
      </c>
      <c r="E44" s="144" t="s">
        <v>90</v>
      </c>
      <c r="F44" s="144" t="s">
        <v>90</v>
      </c>
      <c r="G44" s="144" t="s">
        <v>90</v>
      </c>
      <c r="H44" s="719"/>
      <c r="I44" s="719"/>
      <c r="J44" s="1014"/>
      <c r="K44" s="96" t="s">
        <v>87</v>
      </c>
    </row>
    <row r="45" spans="1:11" ht="15" x14ac:dyDescent="0.25">
      <c r="A45" s="1422"/>
      <c r="B45" s="1010" t="s">
        <v>1218</v>
      </c>
      <c r="C45" s="234">
        <v>6</v>
      </c>
      <c r="D45" s="1494"/>
      <c r="E45" s="144" t="s">
        <v>90</v>
      </c>
      <c r="F45" s="144" t="s">
        <v>90</v>
      </c>
      <c r="G45" s="144" t="s">
        <v>90</v>
      </c>
      <c r="H45" s="719"/>
      <c r="I45" s="719"/>
      <c r="J45" s="1014"/>
      <c r="K45" s="96" t="s">
        <v>87</v>
      </c>
    </row>
    <row r="46" spans="1:11" ht="15" x14ac:dyDescent="0.25">
      <c r="A46" s="1423"/>
      <c r="B46" s="1011" t="s">
        <v>1222</v>
      </c>
      <c r="C46" s="234">
        <v>7</v>
      </c>
      <c r="D46" s="1495"/>
      <c r="E46" s="144" t="s">
        <v>90</v>
      </c>
      <c r="F46" s="144" t="s">
        <v>90</v>
      </c>
      <c r="G46" s="144" t="s">
        <v>90</v>
      </c>
      <c r="H46" s="719"/>
      <c r="I46" s="719"/>
      <c r="J46" s="1014"/>
      <c r="K46" s="96" t="s">
        <v>87</v>
      </c>
    </row>
    <row r="47" spans="1:11" ht="15" x14ac:dyDescent="0.25">
      <c r="A47" s="778" t="s">
        <v>1223</v>
      </c>
      <c r="B47" s="293"/>
      <c r="C47" s="261">
        <v>8</v>
      </c>
      <c r="D47" s="1012"/>
      <c r="E47" s="139" t="s">
        <v>90</v>
      </c>
      <c r="F47" s="1002"/>
      <c r="G47" s="139" t="s">
        <v>90</v>
      </c>
      <c r="H47" s="719"/>
      <c r="I47" s="719"/>
      <c r="J47" s="1007"/>
      <c r="K47" s="96" t="s">
        <v>87</v>
      </c>
    </row>
    <row r="48" spans="1:11" ht="14.25" x14ac:dyDescent="0.2">
      <c r="A48" s="1021"/>
      <c r="B48" s="719"/>
      <c r="C48" s="719"/>
      <c r="D48" s="719"/>
      <c r="E48" s="719"/>
      <c r="F48" s="719"/>
      <c r="G48" s="719"/>
      <c r="H48" s="719"/>
      <c r="I48" s="719"/>
      <c r="J48" s="1007"/>
      <c r="K48" s="96" t="s">
        <v>87</v>
      </c>
    </row>
    <row r="49" spans="1:11" ht="14.25" x14ac:dyDescent="0.2">
      <c r="A49" s="96" t="s">
        <v>87</v>
      </c>
      <c r="B49" s="96" t="s">
        <v>87</v>
      </c>
      <c r="C49" s="96" t="s">
        <v>87</v>
      </c>
      <c r="D49" s="96" t="s">
        <v>87</v>
      </c>
      <c r="E49" s="96" t="s">
        <v>87</v>
      </c>
      <c r="F49" s="96" t="s">
        <v>87</v>
      </c>
      <c r="G49" s="96" t="s">
        <v>87</v>
      </c>
      <c r="H49" s="96" t="s">
        <v>87</v>
      </c>
      <c r="I49" s="96" t="s">
        <v>87</v>
      </c>
      <c r="J49" s="96" t="s">
        <v>87</v>
      </c>
      <c r="K49" s="96" t="s">
        <v>87</v>
      </c>
    </row>
  </sheetData>
  <mergeCells count="18">
    <mergeCell ref="A12:B13"/>
    <mergeCell ref="D12:D13"/>
    <mergeCell ref="A14:A15"/>
    <mergeCell ref="D14:D15"/>
    <mergeCell ref="A18:A20"/>
    <mergeCell ref="B18:G19"/>
    <mergeCell ref="A38:A40"/>
    <mergeCell ref="A44:A46"/>
    <mergeCell ref="D44:D46"/>
    <mergeCell ref="H18:H20"/>
    <mergeCell ref="I18:I20"/>
    <mergeCell ref="A22:A24"/>
    <mergeCell ref="A28:A30"/>
    <mergeCell ref="D28:D30"/>
    <mergeCell ref="A34:A36"/>
    <mergeCell ref="B34:G35"/>
    <mergeCell ref="H34:H36"/>
    <mergeCell ref="I34:I36"/>
  </mergeCells>
  <pageMargins left="0.23622047244094491" right="0.23622047244094491" top="0.74803149606299213" bottom="0.74803149606299213" header="0.31496062992125984" footer="0.31496062992125984"/>
  <pageSetup paperSize="9" fitToHeight="0" orientation="landscape" r:id="rId1"/>
  <headerFooter>
    <oddFooter>&amp;A&amp;RPage &amp;P</oddFooter>
  </headerFooter>
  <rowBreaks count="1" manualBreakCount="1">
    <brk id="3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499984740745262"/>
  </sheetPr>
  <dimension ref="A2:G44"/>
  <sheetViews>
    <sheetView showWhiteSpace="0" topLeftCell="B1" zoomScaleNormal="100" workbookViewId="0">
      <selection activeCell="I13" sqref="I13"/>
    </sheetView>
  </sheetViews>
  <sheetFormatPr defaultRowHeight="12.75" x14ac:dyDescent="0.2"/>
  <cols>
    <col min="1" max="1" width="4.140625" customWidth="1"/>
    <col min="2" max="2" width="10.28515625" customWidth="1"/>
    <col min="3" max="3" width="51.5703125" customWidth="1"/>
    <col min="4" max="4" width="35.140625" customWidth="1"/>
    <col min="5" max="6" width="7.28515625" customWidth="1"/>
  </cols>
  <sheetData>
    <row r="2" spans="1:7" x14ac:dyDescent="0.2">
      <c r="A2" s="13"/>
      <c r="B2" s="14" t="s">
        <v>8</v>
      </c>
      <c r="C2" s="15" t="s">
        <v>9</v>
      </c>
      <c r="D2" s="15" t="s">
        <v>10</v>
      </c>
      <c r="E2" s="16" t="s">
        <v>11</v>
      </c>
      <c r="F2" s="17"/>
      <c r="G2" s="18" t="s">
        <v>12</v>
      </c>
    </row>
    <row r="3" spans="1:7" x14ac:dyDescent="0.2">
      <c r="A3" s="13"/>
      <c r="B3" s="19"/>
      <c r="C3" s="20" t="s">
        <v>13</v>
      </c>
      <c r="D3" s="21" t="s">
        <v>14</v>
      </c>
      <c r="E3" s="22"/>
      <c r="F3" s="22"/>
      <c r="G3" s="23" t="str">
        <f t="shared" ref="G3:G12" si="0">HYPERLINK("#'"&amp;D3&amp;"'!A1",G$2)</f>
        <v>GoTo</v>
      </c>
    </row>
    <row r="4" spans="1:7" x14ac:dyDescent="0.2">
      <c r="A4" s="13"/>
      <c r="B4" s="24"/>
      <c r="C4" s="20" t="s">
        <v>15</v>
      </c>
      <c r="D4" s="21" t="s">
        <v>16</v>
      </c>
      <c r="E4" s="22"/>
      <c r="F4" s="22"/>
      <c r="G4" s="23" t="str">
        <f t="shared" si="0"/>
        <v>GoTo</v>
      </c>
    </row>
    <row r="5" spans="1:7" x14ac:dyDescent="0.2">
      <c r="A5" s="13"/>
      <c r="B5" s="25"/>
      <c r="C5" s="26" t="s">
        <v>17</v>
      </c>
      <c r="D5" s="27" t="s">
        <v>18</v>
      </c>
      <c r="E5" s="28" t="s">
        <v>19</v>
      </c>
      <c r="F5" s="29" t="s">
        <v>20</v>
      </c>
      <c r="G5" s="30" t="str">
        <f t="shared" si="0"/>
        <v>GoTo</v>
      </c>
    </row>
    <row r="6" spans="1:7" ht="14.25" x14ac:dyDescent="0.2">
      <c r="A6" s="13"/>
      <c r="B6" s="31"/>
      <c r="C6" s="32" t="s">
        <v>21</v>
      </c>
      <c r="D6" s="33" t="s">
        <v>22</v>
      </c>
      <c r="E6" s="34" t="s">
        <v>19</v>
      </c>
      <c r="F6" s="35"/>
      <c r="G6" s="36" t="str">
        <f t="shared" si="0"/>
        <v>GoTo</v>
      </c>
    </row>
    <row r="7" spans="1:7" ht="14.25" x14ac:dyDescent="0.2">
      <c r="A7" s="13"/>
      <c r="B7" s="31"/>
      <c r="C7" s="37" t="s">
        <v>23</v>
      </c>
      <c r="D7" s="38" t="s">
        <v>24</v>
      </c>
      <c r="E7" s="34" t="s">
        <v>19</v>
      </c>
      <c r="F7" s="35"/>
      <c r="G7" s="36" t="str">
        <f t="shared" si="0"/>
        <v>GoTo</v>
      </c>
    </row>
    <row r="8" spans="1:7" ht="14.25" x14ac:dyDescent="0.2">
      <c r="A8" s="13"/>
      <c r="B8" s="39"/>
      <c r="C8" s="40" t="s">
        <v>25</v>
      </c>
      <c r="D8" s="41" t="s">
        <v>26</v>
      </c>
      <c r="E8" s="34" t="s">
        <v>19</v>
      </c>
      <c r="F8" s="35"/>
      <c r="G8" s="36" t="str">
        <f t="shared" si="0"/>
        <v>GoTo</v>
      </c>
    </row>
    <row r="9" spans="1:7" ht="14.25" x14ac:dyDescent="0.2">
      <c r="A9" s="13"/>
      <c r="B9" s="39" t="s">
        <v>24</v>
      </c>
      <c r="C9" s="40" t="s">
        <v>27</v>
      </c>
      <c r="D9" s="41" t="s">
        <v>28</v>
      </c>
      <c r="E9" s="34" t="s">
        <v>19</v>
      </c>
      <c r="F9" s="35"/>
      <c r="G9" s="36" t="str">
        <f t="shared" si="0"/>
        <v>GoTo</v>
      </c>
    </row>
    <row r="10" spans="1:7" ht="14.25" x14ac:dyDescent="0.2">
      <c r="A10" s="13"/>
      <c r="B10" s="39"/>
      <c r="C10" s="40" t="s">
        <v>29</v>
      </c>
      <c r="D10" s="41" t="s">
        <v>30</v>
      </c>
      <c r="E10" s="34" t="s">
        <v>19</v>
      </c>
      <c r="F10" s="35"/>
      <c r="G10" s="36" t="str">
        <f t="shared" si="0"/>
        <v>GoTo</v>
      </c>
    </row>
    <row r="11" spans="1:7" ht="14.25" x14ac:dyDescent="0.2">
      <c r="A11" s="13"/>
      <c r="B11" s="42"/>
      <c r="C11" s="43" t="s">
        <v>31</v>
      </c>
      <c r="D11" s="44" t="s">
        <v>32</v>
      </c>
      <c r="E11" s="34" t="s">
        <v>19</v>
      </c>
      <c r="F11" s="35"/>
      <c r="G11" s="36" t="str">
        <f t="shared" si="0"/>
        <v>GoTo</v>
      </c>
    </row>
    <row r="12" spans="1:7" x14ac:dyDescent="0.2">
      <c r="A12" s="13"/>
      <c r="B12" s="45" t="s">
        <v>33</v>
      </c>
      <c r="C12" s="46" t="s">
        <v>34</v>
      </c>
      <c r="D12" s="47" t="s">
        <v>33</v>
      </c>
      <c r="E12" s="48"/>
      <c r="F12" s="29" t="s">
        <v>20</v>
      </c>
      <c r="G12" s="49" t="str">
        <f t="shared" si="0"/>
        <v>GoTo</v>
      </c>
    </row>
    <row r="13" spans="1:7" x14ac:dyDescent="0.2">
      <c r="A13" s="13"/>
      <c r="B13" s="50"/>
      <c r="C13" s="51" t="s">
        <v>35</v>
      </c>
      <c r="D13" s="52"/>
      <c r="E13" s="53"/>
      <c r="F13" s="35"/>
      <c r="G13" s="35"/>
    </row>
    <row r="14" spans="1:7" ht="14.25" x14ac:dyDescent="0.2">
      <c r="A14" s="13"/>
      <c r="B14" s="50"/>
      <c r="C14" s="54" t="s">
        <v>36</v>
      </c>
      <c r="D14" s="52" t="s">
        <v>37</v>
      </c>
      <c r="E14" s="53"/>
      <c r="F14" s="55" t="s">
        <v>20</v>
      </c>
      <c r="G14" s="56" t="str">
        <f>HYPERLINK("#'"&amp;D14&amp;"'!A1",G$2)</f>
        <v>GoTo</v>
      </c>
    </row>
    <row r="15" spans="1:7" ht="14.25" x14ac:dyDescent="0.2">
      <c r="A15" s="13"/>
      <c r="B15" s="50"/>
      <c r="C15" s="54" t="s">
        <v>38</v>
      </c>
      <c r="D15" s="52" t="s">
        <v>39</v>
      </c>
      <c r="E15" s="53"/>
      <c r="F15" s="55" t="s">
        <v>20</v>
      </c>
      <c r="G15" s="56" t="str">
        <f>HYPERLINK("#'"&amp;D15&amp;"'!A1",G$2)</f>
        <v>GoTo</v>
      </c>
    </row>
    <row r="16" spans="1:7" ht="14.25" x14ac:dyDescent="0.2">
      <c r="A16" s="13"/>
      <c r="B16" s="50"/>
      <c r="C16" s="54" t="s">
        <v>40</v>
      </c>
      <c r="D16" s="52" t="s">
        <v>41</v>
      </c>
      <c r="E16" s="53"/>
      <c r="F16" s="55" t="s">
        <v>20</v>
      </c>
      <c r="G16" s="56" t="str">
        <f>HYPERLINK("#'"&amp;D16&amp;"'!A1",G$2)</f>
        <v>GoTo</v>
      </c>
    </row>
    <row r="17" spans="1:7" ht="14.25" x14ac:dyDescent="0.2">
      <c r="A17" s="13"/>
      <c r="B17" s="50"/>
      <c r="C17" s="54" t="s">
        <v>42</v>
      </c>
      <c r="D17" s="52" t="s">
        <v>43</v>
      </c>
      <c r="E17" s="53"/>
      <c r="F17" s="55" t="s">
        <v>20</v>
      </c>
      <c r="G17" s="56" t="str">
        <f>HYPERLINK("#'"&amp;D17&amp;"'!A1",G$2)</f>
        <v>GoTo</v>
      </c>
    </row>
    <row r="18" spans="1:7" ht="14.25" x14ac:dyDescent="0.2">
      <c r="A18" s="13"/>
      <c r="B18" s="50"/>
      <c r="C18" s="57" t="s">
        <v>44</v>
      </c>
      <c r="D18" s="52"/>
      <c r="E18" s="53"/>
      <c r="F18" s="35"/>
      <c r="G18" s="35"/>
    </row>
    <row r="19" spans="1:7" ht="14.25" x14ac:dyDescent="0.2">
      <c r="A19" s="13"/>
      <c r="B19" s="50"/>
      <c r="C19" s="58" t="s">
        <v>45</v>
      </c>
      <c r="D19" s="52" t="s">
        <v>46</v>
      </c>
      <c r="E19" s="53"/>
      <c r="F19" s="55" t="s">
        <v>20</v>
      </c>
      <c r="G19" s="56" t="str">
        <f t="shared" ref="G19:G28" si="1">HYPERLINK("#'"&amp;D19&amp;"'!A1",G$2)</f>
        <v>GoTo</v>
      </c>
    </row>
    <row r="20" spans="1:7" ht="14.25" x14ac:dyDescent="0.2">
      <c r="A20" s="13"/>
      <c r="B20" s="50"/>
      <c r="C20" s="58" t="s">
        <v>47</v>
      </c>
      <c r="D20" s="52" t="s">
        <v>48</v>
      </c>
      <c r="E20" s="53"/>
      <c r="F20" s="55" t="s">
        <v>20</v>
      </c>
      <c r="G20" s="56" t="str">
        <f t="shared" si="1"/>
        <v>GoTo</v>
      </c>
    </row>
    <row r="21" spans="1:7" ht="14.25" x14ac:dyDescent="0.2">
      <c r="A21" s="13"/>
      <c r="B21" s="50"/>
      <c r="C21" s="58" t="s">
        <v>49</v>
      </c>
      <c r="D21" s="52" t="s">
        <v>50</v>
      </c>
      <c r="E21" s="53"/>
      <c r="F21" s="55" t="s">
        <v>20</v>
      </c>
      <c r="G21" s="56" t="str">
        <f t="shared" si="1"/>
        <v>GoTo</v>
      </c>
    </row>
    <row r="22" spans="1:7" ht="14.25" x14ac:dyDescent="0.2">
      <c r="A22" s="13"/>
      <c r="B22" s="50"/>
      <c r="C22" s="58" t="s">
        <v>51</v>
      </c>
      <c r="D22" s="52" t="s">
        <v>52</v>
      </c>
      <c r="E22" s="53"/>
      <c r="F22" s="55" t="s">
        <v>20</v>
      </c>
      <c r="G22" s="56" t="str">
        <f t="shared" si="1"/>
        <v>GoTo</v>
      </c>
    </row>
    <row r="23" spans="1:7" ht="14.25" x14ac:dyDescent="0.2">
      <c r="A23" s="13"/>
      <c r="B23" s="50"/>
      <c r="C23" s="58" t="s">
        <v>53</v>
      </c>
      <c r="D23" s="52" t="s">
        <v>54</v>
      </c>
      <c r="E23" s="53"/>
      <c r="F23" s="55" t="s">
        <v>20</v>
      </c>
      <c r="G23" s="56" t="str">
        <f t="shared" si="1"/>
        <v>GoTo</v>
      </c>
    </row>
    <row r="24" spans="1:7" ht="14.25" x14ac:dyDescent="0.2">
      <c r="A24" s="13"/>
      <c r="B24" s="50"/>
      <c r="C24" s="54" t="s">
        <v>55</v>
      </c>
      <c r="D24" s="52" t="s">
        <v>56</v>
      </c>
      <c r="E24" s="53"/>
      <c r="F24" s="55" t="s">
        <v>20</v>
      </c>
      <c r="G24" s="56" t="str">
        <f t="shared" si="1"/>
        <v>GoTo</v>
      </c>
    </row>
    <row r="25" spans="1:7" ht="14.25" x14ac:dyDescent="0.2">
      <c r="A25" s="13"/>
      <c r="B25" s="50"/>
      <c r="C25" s="54" t="s">
        <v>57</v>
      </c>
      <c r="D25" s="52" t="s">
        <v>58</v>
      </c>
      <c r="E25" s="53"/>
      <c r="F25" s="55" t="s">
        <v>20</v>
      </c>
      <c r="G25" s="56" t="str">
        <f t="shared" si="1"/>
        <v>GoTo</v>
      </c>
    </row>
    <row r="26" spans="1:7" x14ac:dyDescent="0.2">
      <c r="A26" s="13"/>
      <c r="B26" s="50"/>
      <c r="C26" s="51" t="s">
        <v>59</v>
      </c>
      <c r="D26" s="52" t="s">
        <v>60</v>
      </c>
      <c r="E26" s="53"/>
      <c r="F26" s="55" t="s">
        <v>20</v>
      </c>
      <c r="G26" s="56" t="str">
        <f t="shared" si="1"/>
        <v>GoTo</v>
      </c>
    </row>
    <row r="27" spans="1:7" x14ac:dyDescent="0.2">
      <c r="A27" s="13"/>
      <c r="B27" s="50"/>
      <c r="C27" s="51" t="s">
        <v>61</v>
      </c>
      <c r="D27" s="52" t="s">
        <v>62</v>
      </c>
      <c r="E27" s="53"/>
      <c r="F27" s="55" t="s">
        <v>20</v>
      </c>
      <c r="G27" s="56" t="str">
        <f t="shared" si="1"/>
        <v>GoTo</v>
      </c>
    </row>
    <row r="28" spans="1:7" x14ac:dyDescent="0.2">
      <c r="A28" s="13"/>
      <c r="B28" s="50"/>
      <c r="C28" s="59" t="s">
        <v>63</v>
      </c>
      <c r="D28" s="52" t="s">
        <v>64</v>
      </c>
      <c r="E28" s="53"/>
      <c r="F28" s="55" t="s">
        <v>20</v>
      </c>
      <c r="G28" s="56" t="str">
        <f t="shared" si="1"/>
        <v>GoTo</v>
      </c>
    </row>
    <row r="29" spans="1:7" x14ac:dyDescent="0.2">
      <c r="A29" s="13"/>
      <c r="B29" s="50"/>
      <c r="C29" s="60" t="s">
        <v>65</v>
      </c>
      <c r="D29" s="52"/>
      <c r="E29" s="53"/>
      <c r="F29" s="35"/>
      <c r="G29" s="35"/>
    </row>
    <row r="30" spans="1:7" x14ac:dyDescent="0.2">
      <c r="A30" s="13"/>
      <c r="B30" s="50"/>
      <c r="C30" s="61" t="s">
        <v>66</v>
      </c>
      <c r="D30" s="52" t="s">
        <v>67</v>
      </c>
      <c r="E30" s="53"/>
      <c r="F30" s="55" t="s">
        <v>20</v>
      </c>
      <c r="G30" s="56" t="str">
        <f t="shared" ref="G30:G35" si="2">HYPERLINK("#'"&amp;D30&amp;"'!A1",G$2)</f>
        <v>GoTo</v>
      </c>
    </row>
    <row r="31" spans="1:7" x14ac:dyDescent="0.2">
      <c r="A31" s="13"/>
      <c r="B31" s="50"/>
      <c r="C31" s="61" t="s">
        <v>68</v>
      </c>
      <c r="D31" s="52" t="s">
        <v>69</v>
      </c>
      <c r="E31" s="53"/>
      <c r="F31" s="55" t="s">
        <v>20</v>
      </c>
      <c r="G31" s="56" t="str">
        <f t="shared" si="2"/>
        <v>GoTo</v>
      </c>
    </row>
    <row r="32" spans="1:7" ht="14.25" x14ac:dyDescent="0.2">
      <c r="A32" s="13"/>
      <c r="B32" s="50"/>
      <c r="C32" s="62" t="s">
        <v>27</v>
      </c>
      <c r="D32" s="63" t="s">
        <v>70</v>
      </c>
      <c r="E32" s="53"/>
      <c r="F32" s="55" t="s">
        <v>20</v>
      </c>
      <c r="G32" s="64" t="str">
        <f t="shared" si="2"/>
        <v>GoTo</v>
      </c>
    </row>
    <row r="33" spans="1:7" ht="14.25" x14ac:dyDescent="0.2">
      <c r="A33" s="13"/>
      <c r="B33" s="50"/>
      <c r="C33" s="62" t="s">
        <v>29</v>
      </c>
      <c r="D33" s="65" t="s">
        <v>30</v>
      </c>
      <c r="E33" s="53"/>
      <c r="F33" s="55" t="s">
        <v>20</v>
      </c>
      <c r="G33" s="64" t="str">
        <f t="shared" si="2"/>
        <v>GoTo</v>
      </c>
    </row>
    <row r="34" spans="1:7" ht="14.25" x14ac:dyDescent="0.2">
      <c r="A34" s="13"/>
      <c r="B34" s="50"/>
      <c r="C34" s="62" t="s">
        <v>31</v>
      </c>
      <c r="D34" s="66" t="s">
        <v>32</v>
      </c>
      <c r="E34" s="53"/>
      <c r="F34" s="55" t="s">
        <v>20</v>
      </c>
      <c r="G34" s="64" t="str">
        <f t="shared" si="2"/>
        <v>GoTo</v>
      </c>
    </row>
    <row r="35" spans="1:7" x14ac:dyDescent="0.2">
      <c r="A35" s="13"/>
      <c r="B35" s="67" t="s">
        <v>71</v>
      </c>
      <c r="C35" s="68" t="s">
        <v>72</v>
      </c>
      <c r="D35" s="69" t="s">
        <v>73</v>
      </c>
      <c r="E35" s="53"/>
      <c r="F35" s="70" t="s">
        <v>20</v>
      </c>
      <c r="G35" s="71" t="str">
        <f t="shared" si="2"/>
        <v>GoTo</v>
      </c>
    </row>
    <row r="36" spans="1:7" ht="14.25" x14ac:dyDescent="0.2">
      <c r="A36" s="13"/>
      <c r="B36" s="72"/>
      <c r="C36" s="73" t="s">
        <v>74</v>
      </c>
      <c r="D36" s="74"/>
      <c r="E36" s="53"/>
      <c r="F36" s="35"/>
      <c r="G36" s="35"/>
    </row>
    <row r="37" spans="1:7" ht="14.25" x14ac:dyDescent="0.2">
      <c r="A37" s="13"/>
      <c r="B37" s="72"/>
      <c r="C37" s="75" t="s">
        <v>36</v>
      </c>
      <c r="D37" s="76" t="s">
        <v>75</v>
      </c>
      <c r="E37" s="53"/>
      <c r="F37" s="70" t="s">
        <v>20</v>
      </c>
      <c r="G37" s="77" t="str">
        <f t="shared" ref="G37:G41" si="3">HYPERLINK("#'"&amp;D37&amp;"'!A1",G$2)</f>
        <v>GoTo</v>
      </c>
    </row>
    <row r="38" spans="1:7" ht="14.25" x14ac:dyDescent="0.2">
      <c r="B38" s="72"/>
      <c r="C38" s="78" t="s">
        <v>76</v>
      </c>
      <c r="D38" s="74" t="s">
        <v>77</v>
      </c>
      <c r="E38" s="53"/>
      <c r="F38" s="70" t="s">
        <v>20</v>
      </c>
      <c r="G38" s="77" t="str">
        <f t="shared" si="3"/>
        <v>GoTo</v>
      </c>
    </row>
    <row r="39" spans="1:7" x14ac:dyDescent="0.2">
      <c r="B39" s="72"/>
      <c r="C39" s="78" t="s">
        <v>78</v>
      </c>
      <c r="D39" s="79" t="s">
        <v>79</v>
      </c>
      <c r="E39" s="53"/>
      <c r="F39" s="70" t="s">
        <v>20</v>
      </c>
      <c r="G39" s="77" t="str">
        <f t="shared" si="3"/>
        <v>GoTo</v>
      </c>
    </row>
    <row r="40" spans="1:7" x14ac:dyDescent="0.2">
      <c r="B40" s="80"/>
      <c r="C40" s="81" t="s">
        <v>80</v>
      </c>
      <c r="D40" s="82" t="s">
        <v>81</v>
      </c>
      <c r="E40" s="83"/>
      <c r="F40" s="84" t="s">
        <v>20</v>
      </c>
      <c r="G40" s="85" t="str">
        <f t="shared" si="3"/>
        <v>GoTo</v>
      </c>
    </row>
    <row r="41" spans="1:7" x14ac:dyDescent="0.2">
      <c r="B41" s="86"/>
      <c r="C41" s="87" t="s">
        <v>82</v>
      </c>
      <c r="D41" s="27" t="s">
        <v>83</v>
      </c>
      <c r="E41" s="88"/>
      <c r="F41" s="89" t="s">
        <v>20</v>
      </c>
      <c r="G41" s="90" t="str">
        <f t="shared" si="3"/>
        <v>GoTo</v>
      </c>
    </row>
    <row r="42" spans="1:7" x14ac:dyDescent="0.2">
      <c r="D42" t="s">
        <v>84</v>
      </c>
      <c r="E42" s="91">
        <f>COUNTA(E5:E41)</f>
        <v>7</v>
      </c>
      <c r="F42" s="91">
        <f>COUNTA(F5:F41)</f>
        <v>27</v>
      </c>
    </row>
    <row r="43" spans="1:7" ht="14.25" x14ac:dyDescent="0.2">
      <c r="D43" s="92" t="s">
        <v>85</v>
      </c>
      <c r="F43" s="91">
        <v>3</v>
      </c>
    </row>
    <row r="44" spans="1:7" x14ac:dyDescent="0.2">
      <c r="D44" t="s">
        <v>86</v>
      </c>
    </row>
  </sheetData>
  <pageMargins left="0.23622047244094491" right="0.23622047244094491" top="0.74803149606299213" bottom="0.74803149606299213" header="0.31496062992125984" footer="0.31496062992125984"/>
  <pageSetup paperSize="9" orientation="landscape" r:id="rId1"/>
  <headerFooter>
    <oddHeader>&amp;CPublic</oddHeader>
  </headerFooter>
  <rowBreaks count="1" manualBreakCount="1">
    <brk id="11"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A1:AI115"/>
  <sheetViews>
    <sheetView topLeftCell="A5" workbookViewId="0">
      <selection activeCell="A5" sqref="A5"/>
    </sheetView>
  </sheetViews>
  <sheetFormatPr defaultRowHeight="12.75" x14ac:dyDescent="0.2"/>
  <cols>
    <col min="1" max="1" width="23.5703125" customWidth="1"/>
    <col min="2" max="2" width="4.42578125" customWidth="1"/>
    <col min="3" max="3" width="12.5703125" customWidth="1"/>
    <col min="4" max="17" width="10.7109375" customWidth="1"/>
    <col min="18" max="18" width="1.42578125" customWidth="1"/>
    <col min="19" max="19" width="2" customWidth="1"/>
    <col min="20" max="20" width="2.28515625" customWidth="1"/>
    <col min="21" max="21" width="9.140625" customWidth="1"/>
    <col min="22" max="22" width="3.85546875" customWidth="1"/>
    <col min="23" max="33" width="9.140625" customWidth="1"/>
    <col min="34" max="34" width="2.85546875" customWidth="1"/>
    <col min="35" max="35" width="2" customWidth="1"/>
  </cols>
  <sheetData>
    <row r="1" spans="1:35" ht="14.25" x14ac:dyDescent="0.2">
      <c r="A1" s="93" t="str">
        <f>FT15.Participant!$A$1</f>
        <v>&lt;IAIG's Name&gt;</v>
      </c>
      <c r="B1" s="94"/>
      <c r="C1" s="94"/>
      <c r="D1" s="94"/>
      <c r="E1" s="94"/>
      <c r="F1" s="94"/>
      <c r="G1" s="94"/>
      <c r="H1" s="94"/>
      <c r="I1" s="94"/>
      <c r="J1" s="94"/>
      <c r="K1" s="95" t="str">
        <f ca="1">HYPERLINK("#"&amp;CELL("address",FT15.IndexSheet),Version)</f>
        <v>2015 IAIS Field Testing Template</v>
      </c>
      <c r="L1" s="571"/>
      <c r="M1" s="571"/>
      <c r="N1" s="571"/>
      <c r="O1" s="571"/>
      <c r="P1" s="571"/>
      <c r="Q1" s="571"/>
      <c r="R1" s="571"/>
      <c r="S1" s="96" t="s">
        <v>87</v>
      </c>
      <c r="T1" s="982"/>
      <c r="U1" s="148"/>
      <c r="V1" s="148"/>
      <c r="W1" s="148"/>
      <c r="X1" s="148"/>
      <c r="AH1" s="571"/>
      <c r="AI1" s="96" t="s">
        <v>87</v>
      </c>
    </row>
    <row r="2" spans="1:35" ht="15" x14ac:dyDescent="0.25">
      <c r="A2" s="97" t="str">
        <f>FT15.Participant!$A$2</f>
        <v>&lt;Currency&gt; - (&lt;Unit&gt;)</v>
      </c>
      <c r="B2" s="967"/>
      <c r="C2" s="98" t="s">
        <v>55</v>
      </c>
      <c r="D2" s="99"/>
      <c r="E2" s="99"/>
      <c r="F2" s="99"/>
      <c r="G2" s="99"/>
      <c r="H2" s="99"/>
      <c r="I2" s="99"/>
      <c r="J2" s="99"/>
      <c r="K2" s="100" t="str">
        <f>FT15.Participant!$E$2</f>
        <v xml:space="preserve">&lt;Reporting Date&gt; - </v>
      </c>
      <c r="L2" s="571"/>
      <c r="M2" s="571"/>
      <c r="N2" s="571"/>
      <c r="O2" s="571"/>
      <c r="P2" s="571"/>
      <c r="Q2" s="571"/>
      <c r="R2" s="571"/>
      <c r="S2" s="96" t="s">
        <v>87</v>
      </c>
      <c r="T2" s="982"/>
      <c r="U2" s="148"/>
      <c r="V2" s="148"/>
      <c r="W2" s="148"/>
      <c r="X2" s="148"/>
      <c r="AH2" s="571"/>
      <c r="AI2" s="96" t="s">
        <v>87</v>
      </c>
    </row>
    <row r="3" spans="1:35" ht="15" x14ac:dyDescent="0.25">
      <c r="A3" s="1021"/>
      <c r="B3" s="1021"/>
      <c r="C3" s="719"/>
      <c r="D3" s="1007"/>
      <c r="E3" s="1007"/>
      <c r="F3" s="1007"/>
      <c r="G3" s="571"/>
      <c r="H3" s="571"/>
      <c r="I3" s="571"/>
      <c r="J3" s="571"/>
      <c r="K3" s="571"/>
      <c r="L3" s="571"/>
      <c r="M3" s="571"/>
      <c r="N3" s="571"/>
      <c r="O3" s="1014"/>
      <c r="P3" s="1007"/>
      <c r="Q3" s="1007"/>
      <c r="R3" s="571"/>
      <c r="S3" s="96" t="s">
        <v>87</v>
      </c>
      <c r="T3" s="982"/>
      <c r="U3" s="148"/>
      <c r="V3" s="148"/>
      <c r="W3" s="148"/>
      <c r="X3" s="148"/>
      <c r="AH3" s="571"/>
      <c r="AI3" s="96" t="s">
        <v>87</v>
      </c>
    </row>
    <row r="4" spans="1:35" ht="15" x14ac:dyDescent="0.25">
      <c r="A4" s="1021"/>
      <c r="B4" s="1021"/>
      <c r="C4" s="719"/>
      <c r="D4" s="1007"/>
      <c r="E4" s="1007"/>
      <c r="F4" s="1007"/>
      <c r="G4" s="571"/>
      <c r="H4" s="571"/>
      <c r="I4" s="571"/>
      <c r="J4" s="571"/>
      <c r="K4" s="571"/>
      <c r="L4" s="571"/>
      <c r="M4" s="571"/>
      <c r="N4" s="571"/>
      <c r="O4" s="1014"/>
      <c r="P4" s="1007"/>
      <c r="Q4" s="1007"/>
      <c r="R4" s="571"/>
      <c r="S4" s="96" t="s">
        <v>87</v>
      </c>
      <c r="T4" s="982"/>
      <c r="U4" s="148"/>
      <c r="V4" s="148"/>
      <c r="W4" s="148"/>
      <c r="X4" s="148"/>
      <c r="AH4" s="571"/>
      <c r="AI4" s="96" t="s">
        <v>87</v>
      </c>
    </row>
    <row r="5" spans="1:35" ht="15" x14ac:dyDescent="0.25">
      <c r="A5" s="957" t="s">
        <v>1225</v>
      </c>
      <c r="B5" s="958"/>
      <c r="C5" s="278"/>
      <c r="D5" s="571"/>
      <c r="E5" s="1013"/>
      <c r="F5" s="1013"/>
      <c r="G5" s="1014"/>
      <c r="H5" s="571"/>
      <c r="I5" s="571"/>
      <c r="J5" s="571"/>
      <c r="K5" s="571"/>
      <c r="L5" s="571"/>
      <c r="M5" s="571"/>
      <c r="N5" s="571"/>
      <c r="O5" s="1014"/>
      <c r="P5" s="1007"/>
      <c r="Q5" s="1007"/>
      <c r="R5" s="571"/>
      <c r="S5" s="96" t="s">
        <v>87</v>
      </c>
      <c r="T5" s="982"/>
      <c r="U5" s="148"/>
      <c r="V5" s="148"/>
      <c r="W5" s="148"/>
      <c r="X5" s="148"/>
      <c r="AH5" s="571"/>
      <c r="AI5" s="96" t="s">
        <v>87</v>
      </c>
    </row>
    <row r="6" spans="1:35" ht="15" x14ac:dyDescent="0.25">
      <c r="A6" s="959"/>
      <c r="B6" s="124">
        <v>108</v>
      </c>
      <c r="C6" s="214">
        <v>1</v>
      </c>
      <c r="D6" s="571"/>
      <c r="E6" s="1013"/>
      <c r="F6" s="1013"/>
      <c r="G6" s="1014"/>
      <c r="H6" s="571"/>
      <c r="I6" s="571"/>
      <c r="J6" s="571"/>
      <c r="K6" s="571"/>
      <c r="L6" s="571"/>
      <c r="M6" s="571"/>
      <c r="N6" s="571"/>
      <c r="O6" s="1014"/>
      <c r="P6" s="1007"/>
      <c r="Q6" s="1007"/>
      <c r="R6" s="571"/>
      <c r="S6" s="96" t="s">
        <v>87</v>
      </c>
      <c r="T6" s="982"/>
      <c r="U6" s="148"/>
      <c r="V6" s="148"/>
      <c r="W6" s="148"/>
      <c r="X6" s="148"/>
      <c r="AH6" s="571"/>
      <c r="AI6" s="96" t="s">
        <v>87</v>
      </c>
    </row>
    <row r="7" spans="1:35" ht="15" x14ac:dyDescent="0.25">
      <c r="A7" s="93" t="s">
        <v>1226</v>
      </c>
      <c r="B7" s="234">
        <v>1</v>
      </c>
      <c r="C7" s="172">
        <f>SUM(C8:C15)</f>
        <v>0</v>
      </c>
      <c r="D7" s="571"/>
      <c r="E7" s="1013"/>
      <c r="F7" s="1013"/>
      <c r="G7" s="1014"/>
      <c r="H7" s="571"/>
      <c r="I7" s="571"/>
      <c r="J7" s="571"/>
      <c r="K7" s="571"/>
      <c r="L7" s="571"/>
      <c r="M7" s="571"/>
      <c r="N7" s="571"/>
      <c r="O7" s="1014"/>
      <c r="P7" s="1007"/>
      <c r="Q7" s="1007"/>
      <c r="R7" s="571"/>
      <c r="S7" s="96" t="s">
        <v>87</v>
      </c>
      <c r="T7" s="982"/>
      <c r="U7" s="148"/>
      <c r="V7" s="148"/>
      <c r="W7" s="148"/>
      <c r="X7" s="148"/>
      <c r="AH7" s="571"/>
      <c r="AI7" s="96" t="s">
        <v>87</v>
      </c>
    </row>
    <row r="8" spans="1:35" ht="15" x14ac:dyDescent="0.25">
      <c r="A8" s="129" t="s">
        <v>1227</v>
      </c>
      <c r="B8" s="234">
        <v>2</v>
      </c>
      <c r="C8" s="133">
        <f>SUMPRODUCT(G23:Q31,W23:AG31)</f>
        <v>0</v>
      </c>
      <c r="D8" s="1007"/>
      <c r="E8" s="1007"/>
      <c r="F8" s="1007"/>
      <c r="G8" s="1007"/>
      <c r="H8" s="1007"/>
      <c r="I8" s="1014"/>
      <c r="J8" s="1014"/>
      <c r="K8" s="1014"/>
      <c r="L8" s="1014"/>
      <c r="M8" s="1014"/>
      <c r="N8" s="1014"/>
      <c r="O8" s="1014"/>
      <c r="P8" s="1007"/>
      <c r="Q8" s="1007"/>
      <c r="R8" s="571"/>
      <c r="S8" s="96" t="s">
        <v>87</v>
      </c>
      <c r="T8" s="982"/>
      <c r="U8" s="148"/>
      <c r="V8" s="148"/>
      <c r="W8" s="148"/>
      <c r="X8" s="148"/>
      <c r="Y8" s="148"/>
      <c r="Z8" s="148"/>
      <c r="AA8" s="148"/>
      <c r="AB8" s="148"/>
      <c r="AC8" s="148"/>
      <c r="AD8" s="148"/>
      <c r="AE8" s="148"/>
      <c r="AH8" s="571"/>
      <c r="AI8" s="96" t="s">
        <v>87</v>
      </c>
    </row>
    <row r="9" spans="1:35" ht="15" x14ac:dyDescent="0.25">
      <c r="A9" s="129" t="s">
        <v>1228</v>
      </c>
      <c r="B9" s="234">
        <v>3</v>
      </c>
      <c r="C9" s="133">
        <f>SUMPRODUCT(G35:Q43,W35:AG43)</f>
        <v>0</v>
      </c>
      <c r="D9" s="1007"/>
      <c r="E9" s="1007"/>
      <c r="F9" s="1007"/>
      <c r="G9" s="1007"/>
      <c r="H9" s="1007"/>
      <c r="I9" s="1014"/>
      <c r="J9" s="1014"/>
      <c r="K9" s="1014"/>
      <c r="L9" s="1014"/>
      <c r="M9" s="1014"/>
      <c r="N9" s="1014"/>
      <c r="O9" s="1014"/>
      <c r="P9" s="1007"/>
      <c r="Q9" s="1007"/>
      <c r="R9" s="571"/>
      <c r="S9" s="96" t="s">
        <v>87</v>
      </c>
      <c r="T9" s="982"/>
      <c r="U9" s="148"/>
      <c r="V9" s="148"/>
      <c r="W9" s="148"/>
      <c r="X9" s="148"/>
      <c r="Y9" s="148"/>
      <c r="Z9" s="148"/>
      <c r="AA9" s="148"/>
      <c r="AB9" s="148"/>
      <c r="AC9" s="148"/>
      <c r="AD9" s="148"/>
      <c r="AE9" s="148"/>
      <c r="AH9" s="571"/>
      <c r="AI9" s="96" t="s">
        <v>87</v>
      </c>
    </row>
    <row r="10" spans="1:35" ht="15" x14ac:dyDescent="0.25">
      <c r="A10" s="129" t="s">
        <v>1229</v>
      </c>
      <c r="B10" s="234">
        <v>4</v>
      </c>
      <c r="C10" s="133">
        <f>SUMPRODUCT(G48:Q56,W48:AG56)</f>
        <v>0</v>
      </c>
      <c r="D10" s="1007"/>
      <c r="E10" s="1007"/>
      <c r="F10" s="1007"/>
      <c r="G10" s="1007"/>
      <c r="H10" s="1007"/>
      <c r="I10" s="1014"/>
      <c r="J10" s="1014"/>
      <c r="K10" s="1014"/>
      <c r="L10" s="1014"/>
      <c r="M10" s="1014"/>
      <c r="N10" s="1014"/>
      <c r="O10" s="1014"/>
      <c r="P10" s="1007"/>
      <c r="Q10" s="1007"/>
      <c r="R10" s="571"/>
      <c r="S10" s="96" t="s">
        <v>87</v>
      </c>
      <c r="T10" s="982"/>
      <c r="U10" s="148"/>
      <c r="V10" s="148"/>
      <c r="W10" s="148"/>
      <c r="X10" s="148"/>
      <c r="Y10" s="148"/>
      <c r="Z10" s="148"/>
      <c r="AA10" s="148"/>
      <c r="AB10" s="148"/>
      <c r="AC10" s="148"/>
      <c r="AD10" s="148"/>
      <c r="AE10" s="148"/>
      <c r="AH10" s="571"/>
      <c r="AI10" s="96" t="s">
        <v>87</v>
      </c>
    </row>
    <row r="11" spans="1:35" ht="15" x14ac:dyDescent="0.25">
      <c r="A11" s="129" t="s">
        <v>1230</v>
      </c>
      <c r="B11" s="234">
        <v>5</v>
      </c>
      <c r="C11" s="133">
        <f>SUMPRODUCT(G61:Q69,W61:AG69)</f>
        <v>0</v>
      </c>
      <c r="D11" s="1007"/>
      <c r="E11" s="1007"/>
      <c r="F11" s="1007"/>
      <c r="G11" s="1007"/>
      <c r="H11" s="1007"/>
      <c r="I11" s="1014"/>
      <c r="J11" s="1014"/>
      <c r="K11" s="1014"/>
      <c r="L11" s="1014"/>
      <c r="M11" s="1014"/>
      <c r="N11" s="1014"/>
      <c r="O11" s="1014"/>
      <c r="P11" s="1007"/>
      <c r="Q11" s="1007"/>
      <c r="R11" s="571"/>
      <c r="S11" s="96" t="s">
        <v>87</v>
      </c>
      <c r="T11" s="982"/>
      <c r="U11" s="148"/>
      <c r="V11" s="148"/>
      <c r="W11" s="148"/>
      <c r="X11" s="148"/>
      <c r="Y11" s="148"/>
      <c r="Z11" s="148"/>
      <c r="AA11" s="148"/>
      <c r="AB11" s="148"/>
      <c r="AC11" s="148"/>
      <c r="AD11" s="148"/>
      <c r="AE11" s="148"/>
      <c r="AH11" s="571"/>
      <c r="AI11" s="96" t="s">
        <v>87</v>
      </c>
    </row>
    <row r="12" spans="1:35" ht="15" x14ac:dyDescent="0.25">
      <c r="A12" s="129" t="s">
        <v>1231</v>
      </c>
      <c r="B12" s="234">
        <v>6</v>
      </c>
      <c r="C12" s="133">
        <f>SUMPRODUCT(G73:Q81,W73:AG81)</f>
        <v>0</v>
      </c>
      <c r="D12" s="1007"/>
      <c r="E12" s="1007"/>
      <c r="F12" s="1007"/>
      <c r="G12" s="1007"/>
      <c r="H12" s="1007"/>
      <c r="I12" s="1014"/>
      <c r="J12" s="1014"/>
      <c r="K12" s="1014"/>
      <c r="L12" s="1014"/>
      <c r="M12" s="1014"/>
      <c r="N12" s="1014"/>
      <c r="O12" s="1014"/>
      <c r="P12" s="1007"/>
      <c r="Q12" s="1007"/>
      <c r="R12" s="571"/>
      <c r="S12" s="96" t="s">
        <v>87</v>
      </c>
      <c r="T12" s="982"/>
      <c r="U12" s="148"/>
      <c r="V12" s="148"/>
      <c r="W12" s="148"/>
      <c r="X12" s="148"/>
      <c r="Y12" s="148"/>
      <c r="Z12" s="148"/>
      <c r="AA12" s="148"/>
      <c r="AB12" s="148"/>
      <c r="AC12" s="148"/>
      <c r="AD12" s="148"/>
      <c r="AE12" s="148"/>
      <c r="AH12" s="571"/>
      <c r="AI12" s="96" t="s">
        <v>87</v>
      </c>
    </row>
    <row r="13" spans="1:35" ht="15" x14ac:dyDescent="0.25">
      <c r="A13" s="129" t="s">
        <v>1232</v>
      </c>
      <c r="B13" s="234">
        <v>7</v>
      </c>
      <c r="C13" s="133">
        <f>SUM(C86,F86)*W85+SUM(C91,F91)*W86+SUM(C87,F87,C92,F92)*W87</f>
        <v>0</v>
      </c>
      <c r="D13" s="1007"/>
      <c r="E13" s="1007"/>
      <c r="F13" s="1007"/>
      <c r="G13" s="1007"/>
      <c r="H13" s="1007"/>
      <c r="I13" s="1014"/>
      <c r="J13" s="1014"/>
      <c r="K13" s="1014"/>
      <c r="L13" s="1014"/>
      <c r="M13" s="1014"/>
      <c r="N13" s="1014"/>
      <c r="O13" s="1014"/>
      <c r="P13" s="1007"/>
      <c r="Q13" s="1007"/>
      <c r="R13" s="571"/>
      <c r="S13" s="96" t="s">
        <v>87</v>
      </c>
      <c r="T13" s="982"/>
      <c r="U13" s="148"/>
      <c r="V13" s="148"/>
      <c r="W13" s="148"/>
      <c r="X13" s="148"/>
      <c r="Y13" s="148"/>
      <c r="Z13" s="148"/>
      <c r="AA13" s="148"/>
      <c r="AB13" s="148"/>
      <c r="AC13" s="148"/>
      <c r="AD13" s="148"/>
      <c r="AE13" s="148"/>
      <c r="AH13" s="571"/>
      <c r="AI13" s="96" t="s">
        <v>87</v>
      </c>
    </row>
    <row r="14" spans="1:35" ht="15" x14ac:dyDescent="0.25">
      <c r="A14" s="129" t="s">
        <v>1233</v>
      </c>
      <c r="B14" s="234">
        <v>8</v>
      </c>
      <c r="C14" s="133">
        <f>SUMPRODUCT(E96:E101,W96:W101)+SUM(F97)*W97+SUM(E105:E110)*W103</f>
        <v>0</v>
      </c>
      <c r="D14" s="1007"/>
      <c r="E14" s="1007"/>
      <c r="F14" s="1007"/>
      <c r="G14" s="1007"/>
      <c r="H14" s="1007"/>
      <c r="I14" s="1014"/>
      <c r="J14" s="1014"/>
      <c r="K14" s="1014"/>
      <c r="L14" s="1014"/>
      <c r="M14" s="1014"/>
      <c r="N14" s="1014"/>
      <c r="O14" s="1014"/>
      <c r="P14" s="1007"/>
      <c r="Q14" s="1007"/>
      <c r="R14" s="571"/>
      <c r="S14" s="96" t="s">
        <v>87</v>
      </c>
      <c r="T14" s="982"/>
      <c r="U14" s="148"/>
      <c r="V14" s="148"/>
      <c r="W14" s="148"/>
      <c r="X14" s="148"/>
      <c r="Y14" s="148"/>
      <c r="Z14" s="148"/>
      <c r="AA14" s="148"/>
      <c r="AB14" s="148"/>
      <c r="AC14" s="148"/>
      <c r="AD14" s="148"/>
      <c r="AE14" s="148"/>
      <c r="AH14" s="571"/>
      <c r="AI14" s="96" t="s">
        <v>87</v>
      </c>
    </row>
    <row r="15" spans="1:35" ht="15" x14ac:dyDescent="0.25">
      <c r="A15" s="147" t="s">
        <v>707</v>
      </c>
      <c r="B15" s="261">
        <v>9</v>
      </c>
      <c r="C15" s="313">
        <f>'ICS.Non-Life type risk'!I8</f>
        <v>0</v>
      </c>
      <c r="D15" s="1007"/>
      <c r="E15" s="1007"/>
      <c r="F15" s="1007"/>
      <c r="G15" s="1007"/>
      <c r="H15" s="1007"/>
      <c r="I15" s="1014"/>
      <c r="J15" s="1014"/>
      <c r="K15" s="1014"/>
      <c r="L15" s="1014"/>
      <c r="M15" s="1014"/>
      <c r="N15" s="1014"/>
      <c r="O15" s="1014"/>
      <c r="P15" s="1007"/>
      <c r="Q15" s="1007"/>
      <c r="R15" s="571"/>
      <c r="S15" s="96" t="s">
        <v>87</v>
      </c>
      <c r="T15" s="982"/>
      <c r="U15" s="148"/>
      <c r="V15" s="148"/>
      <c r="W15" s="148"/>
      <c r="X15" s="148"/>
      <c r="Y15" s="148"/>
      <c r="Z15" s="148"/>
      <c r="AA15" s="148"/>
      <c r="AB15" s="148"/>
      <c r="AC15" s="148"/>
      <c r="AD15" s="148"/>
      <c r="AE15" s="148"/>
      <c r="AH15" s="571"/>
      <c r="AI15" s="96" t="s">
        <v>87</v>
      </c>
    </row>
    <row r="16" spans="1:35" ht="15" x14ac:dyDescent="0.25">
      <c r="A16" s="719"/>
      <c r="B16" s="719"/>
      <c r="C16" s="719"/>
      <c r="D16" s="1007"/>
      <c r="E16" s="1007"/>
      <c r="F16" s="1007"/>
      <c r="G16" s="1007"/>
      <c r="H16" s="1007"/>
      <c r="I16" s="1014"/>
      <c r="J16" s="1014"/>
      <c r="K16" s="1014"/>
      <c r="L16" s="1014"/>
      <c r="M16" s="1014"/>
      <c r="N16" s="1014"/>
      <c r="O16" s="1014"/>
      <c r="P16" s="1007"/>
      <c r="Q16" s="1007"/>
      <c r="R16" s="571"/>
      <c r="S16" s="96" t="s">
        <v>87</v>
      </c>
      <c r="T16" s="982"/>
      <c r="U16" s="148"/>
      <c r="V16" s="148"/>
      <c r="W16" s="148"/>
      <c r="X16" s="148"/>
      <c r="Y16" s="148"/>
      <c r="Z16" s="148"/>
      <c r="AA16" s="148"/>
      <c r="AB16" s="148"/>
      <c r="AC16" s="148"/>
      <c r="AD16" s="148"/>
      <c r="AE16" s="148"/>
      <c r="AH16" s="571"/>
      <c r="AI16" s="96"/>
    </row>
    <row r="17" spans="1:35" ht="56.25" customHeight="1" x14ac:dyDescent="0.25">
      <c r="A17" s="1021"/>
      <c r="B17" s="1021"/>
      <c r="C17" s="719"/>
      <c r="D17" s="719"/>
      <c r="E17" s="719"/>
      <c r="F17" s="486" t="s">
        <v>1234</v>
      </c>
      <c r="G17" s="719"/>
      <c r="H17" s="1007"/>
      <c r="I17" s="1014"/>
      <c r="J17" s="1014"/>
      <c r="K17" s="1014"/>
      <c r="L17" s="1014"/>
      <c r="M17" s="1014"/>
      <c r="N17" s="1014"/>
      <c r="O17" s="1014"/>
      <c r="P17" s="1007"/>
      <c r="Q17" s="1007"/>
      <c r="R17" s="571"/>
      <c r="S17" s="96" t="s">
        <v>87</v>
      </c>
      <c r="T17" s="982"/>
      <c r="U17" s="148"/>
      <c r="V17" s="148"/>
      <c r="W17" s="148"/>
      <c r="X17" s="148"/>
      <c r="Y17" s="148"/>
      <c r="Z17" s="148"/>
      <c r="AA17" s="148"/>
      <c r="AB17" s="148"/>
      <c r="AC17" s="148"/>
      <c r="AD17" s="148"/>
      <c r="AE17" s="148"/>
      <c r="AH17" s="571"/>
      <c r="AI17" s="96" t="s">
        <v>87</v>
      </c>
    </row>
    <row r="18" spans="1:35" ht="15" x14ac:dyDescent="0.25">
      <c r="A18" s="1021"/>
      <c r="B18" s="124">
        <v>109</v>
      </c>
      <c r="C18" s="105"/>
      <c r="D18" s="105"/>
      <c r="E18" s="105"/>
      <c r="F18" s="106">
        <v>4</v>
      </c>
      <c r="G18" s="719"/>
      <c r="H18" s="1007"/>
      <c r="I18" s="1014"/>
      <c r="J18" s="1014"/>
      <c r="K18" s="1014"/>
      <c r="L18" s="1014"/>
      <c r="M18" s="1014"/>
      <c r="N18" s="1014"/>
      <c r="O18" s="1014"/>
      <c r="P18" s="1007"/>
      <c r="Q18" s="1007"/>
      <c r="R18" s="571"/>
      <c r="S18" s="96" t="s">
        <v>87</v>
      </c>
      <c r="T18" s="982"/>
      <c r="U18" s="148"/>
      <c r="V18" s="148"/>
      <c r="W18" s="148"/>
      <c r="X18" s="148"/>
      <c r="Y18" s="148"/>
      <c r="Z18" s="148"/>
      <c r="AA18" s="148"/>
      <c r="AB18" s="148"/>
      <c r="AC18" s="148"/>
      <c r="AD18" s="148"/>
      <c r="AE18" s="148"/>
      <c r="AH18" s="571"/>
      <c r="AI18" s="96" t="s">
        <v>87</v>
      </c>
    </row>
    <row r="19" spans="1:35" ht="30" x14ac:dyDescent="0.25">
      <c r="A19" s="1022" t="s">
        <v>1235</v>
      </c>
      <c r="B19" s="261">
        <v>1</v>
      </c>
      <c r="C19" s="163"/>
      <c r="D19" s="164"/>
      <c r="E19" s="164"/>
      <c r="F19" s="144" t="s">
        <v>90</v>
      </c>
      <c r="G19" s="719"/>
      <c r="H19" s="1007"/>
      <c r="I19" s="1007"/>
      <c r="J19" s="1007"/>
      <c r="K19" s="1007"/>
      <c r="L19" s="1007"/>
      <c r="M19" s="1014"/>
      <c r="N19" s="1014"/>
      <c r="O19" s="1014"/>
      <c r="P19" s="1007"/>
      <c r="Q19" s="1007"/>
      <c r="R19" s="571"/>
      <c r="S19" s="96" t="s">
        <v>87</v>
      </c>
      <c r="T19" s="982"/>
      <c r="U19" s="148"/>
      <c r="V19" s="148"/>
      <c r="W19" s="148"/>
      <c r="X19" s="148"/>
      <c r="Y19" s="148"/>
      <c r="Z19" s="148"/>
      <c r="AA19" s="148"/>
      <c r="AB19" s="148"/>
      <c r="AC19" s="148"/>
      <c r="AD19" s="148"/>
      <c r="AE19" s="148"/>
      <c r="AH19" s="571"/>
      <c r="AI19" s="96" t="s">
        <v>87</v>
      </c>
    </row>
    <row r="20" spans="1:35" ht="15" x14ac:dyDescent="0.25">
      <c r="A20" s="1021"/>
      <c r="B20" s="1021"/>
      <c r="C20" s="719"/>
      <c r="D20" s="719"/>
      <c r="E20" s="719"/>
      <c r="F20" s="719"/>
      <c r="G20" s="719"/>
      <c r="H20" s="1007"/>
      <c r="I20" s="1014"/>
      <c r="J20" s="1014"/>
      <c r="K20" s="1014"/>
      <c r="L20" s="1014"/>
      <c r="M20" s="1014"/>
      <c r="N20" s="1014"/>
      <c r="O20" s="1014"/>
      <c r="P20" s="1007"/>
      <c r="Q20" s="1007"/>
      <c r="R20" s="571"/>
      <c r="S20" s="96" t="s">
        <v>87</v>
      </c>
      <c r="T20" s="982"/>
      <c r="U20" s="1023"/>
      <c r="V20" s="1023"/>
      <c r="W20" s="148"/>
      <c r="X20" s="148"/>
      <c r="AH20" s="571"/>
      <c r="AI20" s="96" t="s">
        <v>87</v>
      </c>
    </row>
    <row r="21" spans="1:35" ht="53.25" customHeight="1" x14ac:dyDescent="0.2">
      <c r="A21" s="1024" t="s">
        <v>1236</v>
      </c>
      <c r="B21" s="988"/>
      <c r="C21" s="278" t="s">
        <v>1237</v>
      </c>
      <c r="D21" s="278" t="s">
        <v>1238</v>
      </c>
      <c r="E21" s="278" t="s">
        <v>1239</v>
      </c>
      <c r="F21" s="486" t="s">
        <v>1234</v>
      </c>
      <c r="G21" s="278" t="s">
        <v>1240</v>
      </c>
      <c r="H21" s="278" t="s">
        <v>1241</v>
      </c>
      <c r="I21" s="278" t="s">
        <v>1242</v>
      </c>
      <c r="J21" s="278" t="s">
        <v>1243</v>
      </c>
      <c r="K21" s="278" t="s">
        <v>1244</v>
      </c>
      <c r="L21" s="278" t="s">
        <v>1245</v>
      </c>
      <c r="M21" s="278" t="s">
        <v>1246</v>
      </c>
      <c r="N21" s="278" t="s">
        <v>1247</v>
      </c>
      <c r="O21" s="278" t="s">
        <v>1248</v>
      </c>
      <c r="P21" s="278" t="s">
        <v>1249</v>
      </c>
      <c r="Q21" s="278" t="s">
        <v>1250</v>
      </c>
      <c r="S21" s="96" t="s">
        <v>87</v>
      </c>
      <c r="T21" s="982"/>
      <c r="U21" s="1025" t="s">
        <v>1227</v>
      </c>
      <c r="V21" s="718"/>
      <c r="W21" s="1026" t="s">
        <v>1251</v>
      </c>
      <c r="X21" s="1026" t="s">
        <v>1241</v>
      </c>
      <c r="Y21" s="1026" t="s">
        <v>1242</v>
      </c>
      <c r="Z21" s="1026" t="s">
        <v>1243</v>
      </c>
      <c r="AA21" s="1026" t="s">
        <v>1244</v>
      </c>
      <c r="AB21" s="1026" t="s">
        <v>1245</v>
      </c>
      <c r="AC21" s="1026" t="s">
        <v>1246</v>
      </c>
      <c r="AD21" s="1026" t="s">
        <v>1247</v>
      </c>
      <c r="AE21" s="1026" t="s">
        <v>1248</v>
      </c>
      <c r="AF21" s="1026" t="s">
        <v>1249</v>
      </c>
      <c r="AG21" s="1027" t="s">
        <v>1250</v>
      </c>
      <c r="AH21" s="571"/>
      <c r="AI21" s="96" t="s">
        <v>87</v>
      </c>
    </row>
    <row r="22" spans="1:35" ht="15" x14ac:dyDescent="0.25">
      <c r="A22" s="1028" t="s">
        <v>1252</v>
      </c>
      <c r="B22" s="124">
        <v>110</v>
      </c>
      <c r="C22" s="105">
        <v>1</v>
      </c>
      <c r="D22" s="105">
        <v>2</v>
      </c>
      <c r="E22" s="105">
        <v>3</v>
      </c>
      <c r="F22" s="106">
        <v>4</v>
      </c>
      <c r="G22" s="105">
        <v>5</v>
      </c>
      <c r="H22" s="105">
        <v>6</v>
      </c>
      <c r="I22" s="105">
        <v>7</v>
      </c>
      <c r="J22" s="105">
        <v>8</v>
      </c>
      <c r="K22" s="105">
        <v>9</v>
      </c>
      <c r="L22" s="105">
        <v>10</v>
      </c>
      <c r="M22" s="105">
        <v>11</v>
      </c>
      <c r="N22" s="105">
        <v>12</v>
      </c>
      <c r="O22" s="105">
        <v>13</v>
      </c>
      <c r="P22" s="105">
        <v>14</v>
      </c>
      <c r="Q22" s="106">
        <v>15</v>
      </c>
      <c r="S22" s="96" t="s">
        <v>87</v>
      </c>
      <c r="T22" s="982"/>
      <c r="U22" s="1029" t="s">
        <v>8</v>
      </c>
      <c r="V22" s="675" t="s">
        <v>1253</v>
      </c>
      <c r="W22" s="105">
        <v>5</v>
      </c>
      <c r="X22" s="105">
        <v>6</v>
      </c>
      <c r="Y22" s="105">
        <v>7</v>
      </c>
      <c r="Z22" s="105">
        <v>8</v>
      </c>
      <c r="AA22" s="105">
        <v>9</v>
      </c>
      <c r="AB22" s="105">
        <v>10</v>
      </c>
      <c r="AC22" s="105">
        <v>11</v>
      </c>
      <c r="AD22" s="105">
        <v>12</v>
      </c>
      <c r="AE22" s="105">
        <v>13</v>
      </c>
      <c r="AF22" s="105">
        <v>14</v>
      </c>
      <c r="AG22" s="106">
        <v>15</v>
      </c>
      <c r="AH22" s="571"/>
      <c r="AI22" s="96" t="s">
        <v>87</v>
      </c>
    </row>
    <row r="23" spans="1:35" ht="14.25" x14ac:dyDescent="0.2">
      <c r="A23" s="212">
        <v>1</v>
      </c>
      <c r="B23" s="234">
        <v>1</v>
      </c>
      <c r="C23" s="149" t="s">
        <v>90</v>
      </c>
      <c r="D23" s="149" t="s">
        <v>90</v>
      </c>
      <c r="E23" s="149" t="s">
        <v>90</v>
      </c>
      <c r="F23" s="149" t="s">
        <v>90</v>
      </c>
      <c r="G23" s="1030" t="s">
        <v>90</v>
      </c>
      <c r="H23" s="149" t="s">
        <v>90</v>
      </c>
      <c r="I23" s="149" t="s">
        <v>90</v>
      </c>
      <c r="J23" s="149" t="s">
        <v>90</v>
      </c>
      <c r="K23" s="149" t="s">
        <v>90</v>
      </c>
      <c r="L23" s="149" t="s">
        <v>90</v>
      </c>
      <c r="M23" s="149" t="s">
        <v>90</v>
      </c>
      <c r="N23" s="149" t="s">
        <v>90</v>
      </c>
      <c r="O23" s="149" t="s">
        <v>90</v>
      </c>
      <c r="P23" s="149" t="s">
        <v>90</v>
      </c>
      <c r="Q23" s="149" t="s">
        <v>90</v>
      </c>
      <c r="S23" s="96" t="s">
        <v>87</v>
      </c>
      <c r="T23" s="982"/>
      <c r="U23" s="1031">
        <v>1</v>
      </c>
      <c r="V23" s="234">
        <v>1</v>
      </c>
      <c r="W23" s="1032">
        <v>1.0043513693540548E-3</v>
      </c>
      <c r="X23" s="683">
        <v>3.4372151828369057E-3</v>
      </c>
      <c r="Y23" s="683">
        <v>4.3840258639247327E-3</v>
      </c>
      <c r="Z23" s="683">
        <v>5.7622856319559882E-3</v>
      </c>
      <c r="AA23" s="683">
        <v>6.9589089037637849E-3</v>
      </c>
      <c r="AB23" s="683">
        <v>7.8847019682218075E-3</v>
      </c>
      <c r="AC23" s="683">
        <v>8.7153823595466882E-3</v>
      </c>
      <c r="AD23" s="683">
        <v>9.3305477239275601E-3</v>
      </c>
      <c r="AE23" s="683">
        <v>9.8461918706082095E-3</v>
      </c>
      <c r="AF23" s="683">
        <v>1.0406695910685248E-2</v>
      </c>
      <c r="AG23" s="684">
        <v>1.0941026692352439E-2</v>
      </c>
      <c r="AH23" s="571"/>
      <c r="AI23" s="96" t="s">
        <v>87</v>
      </c>
    </row>
    <row r="24" spans="1:35" ht="14.25" x14ac:dyDescent="0.2">
      <c r="A24" s="978">
        <v>2</v>
      </c>
      <c r="B24" s="234">
        <v>2</v>
      </c>
      <c r="C24" s="137" t="s">
        <v>90</v>
      </c>
      <c r="D24" s="137" t="s">
        <v>90</v>
      </c>
      <c r="E24" s="137" t="s">
        <v>90</v>
      </c>
      <c r="F24" s="137" t="s">
        <v>90</v>
      </c>
      <c r="G24" s="1033" t="s">
        <v>90</v>
      </c>
      <c r="H24" s="137" t="s">
        <v>90</v>
      </c>
      <c r="I24" s="137" t="s">
        <v>90</v>
      </c>
      <c r="J24" s="137" t="s">
        <v>90</v>
      </c>
      <c r="K24" s="137" t="s">
        <v>90</v>
      </c>
      <c r="L24" s="137" t="s">
        <v>90</v>
      </c>
      <c r="M24" s="137" t="s">
        <v>90</v>
      </c>
      <c r="N24" s="137" t="s">
        <v>90</v>
      </c>
      <c r="O24" s="137" t="s">
        <v>90</v>
      </c>
      <c r="P24" s="137" t="s">
        <v>90</v>
      </c>
      <c r="Q24" s="137" t="s">
        <v>90</v>
      </c>
      <c r="S24" s="96" t="s">
        <v>87</v>
      </c>
      <c r="T24" s="982"/>
      <c r="U24" s="1031">
        <v>2</v>
      </c>
      <c r="V24" s="234">
        <v>2</v>
      </c>
      <c r="W24" s="1034">
        <v>1.0043513693540548E-3</v>
      </c>
      <c r="X24" s="688">
        <v>3.4372151828369057E-3</v>
      </c>
      <c r="Y24" s="688">
        <v>4.3840258639247327E-3</v>
      </c>
      <c r="Z24" s="688">
        <v>5.7622856319559882E-3</v>
      </c>
      <c r="AA24" s="688">
        <v>6.9589089037637849E-3</v>
      </c>
      <c r="AB24" s="688">
        <v>7.8847019682218075E-3</v>
      </c>
      <c r="AC24" s="688">
        <v>8.7153823595466882E-3</v>
      </c>
      <c r="AD24" s="688">
        <v>9.3305477239275601E-3</v>
      </c>
      <c r="AE24" s="688">
        <v>9.8461918706082095E-3</v>
      </c>
      <c r="AF24" s="688">
        <v>1.0406695910685248E-2</v>
      </c>
      <c r="AG24" s="689">
        <v>1.0941026692352439E-2</v>
      </c>
      <c r="AH24" s="571"/>
      <c r="AI24" s="96" t="s">
        <v>87</v>
      </c>
    </row>
    <row r="25" spans="1:35" ht="14.25" x14ac:dyDescent="0.2">
      <c r="A25" s="978">
        <v>3</v>
      </c>
      <c r="B25" s="234">
        <v>3</v>
      </c>
      <c r="C25" s="137" t="s">
        <v>90</v>
      </c>
      <c r="D25" s="137" t="s">
        <v>90</v>
      </c>
      <c r="E25" s="137" t="s">
        <v>90</v>
      </c>
      <c r="F25" s="137" t="s">
        <v>90</v>
      </c>
      <c r="G25" s="1033" t="s">
        <v>90</v>
      </c>
      <c r="H25" s="137" t="s">
        <v>90</v>
      </c>
      <c r="I25" s="137" t="s">
        <v>90</v>
      </c>
      <c r="J25" s="137" t="s">
        <v>90</v>
      </c>
      <c r="K25" s="137" t="s">
        <v>90</v>
      </c>
      <c r="L25" s="137" t="s">
        <v>90</v>
      </c>
      <c r="M25" s="137" t="s">
        <v>90</v>
      </c>
      <c r="N25" s="137" t="s">
        <v>90</v>
      </c>
      <c r="O25" s="137" t="s">
        <v>90</v>
      </c>
      <c r="P25" s="137" t="s">
        <v>90</v>
      </c>
      <c r="Q25" s="137" t="s">
        <v>90</v>
      </c>
      <c r="S25" s="96" t="s">
        <v>87</v>
      </c>
      <c r="T25" s="982"/>
      <c r="U25" s="1031">
        <v>3</v>
      </c>
      <c r="V25" s="234">
        <v>3</v>
      </c>
      <c r="W25" s="1034">
        <v>3.9498683768226968E-3</v>
      </c>
      <c r="X25" s="688">
        <v>9.9582068066008597E-3</v>
      </c>
      <c r="Y25" s="688">
        <v>1.2215825636518653E-2</v>
      </c>
      <c r="Z25" s="688">
        <v>1.4991985484055385E-2</v>
      </c>
      <c r="AA25" s="688">
        <v>1.7499437474574001E-2</v>
      </c>
      <c r="AB25" s="688">
        <v>1.9616263790770423E-2</v>
      </c>
      <c r="AC25" s="688">
        <v>2.1739489058913156E-2</v>
      </c>
      <c r="AD25" s="688">
        <v>2.332258392804715E-2</v>
      </c>
      <c r="AE25" s="688">
        <v>2.4715356104757547E-2</v>
      </c>
      <c r="AF25" s="688">
        <v>2.6166890940204926E-2</v>
      </c>
      <c r="AG25" s="689">
        <v>2.7430262910292477E-2</v>
      </c>
      <c r="AH25" s="571"/>
      <c r="AI25" s="96" t="s">
        <v>87</v>
      </c>
    </row>
    <row r="26" spans="1:35" ht="14.25" x14ac:dyDescent="0.2">
      <c r="A26" s="978">
        <v>4</v>
      </c>
      <c r="B26" s="234">
        <v>4</v>
      </c>
      <c r="C26" s="137" t="s">
        <v>90</v>
      </c>
      <c r="D26" s="137" t="s">
        <v>90</v>
      </c>
      <c r="E26" s="137" t="s">
        <v>90</v>
      </c>
      <c r="F26" s="137" t="s">
        <v>90</v>
      </c>
      <c r="G26" s="1033" t="s">
        <v>90</v>
      </c>
      <c r="H26" s="137" t="s">
        <v>90</v>
      </c>
      <c r="I26" s="137" t="s">
        <v>90</v>
      </c>
      <c r="J26" s="137" t="s">
        <v>90</v>
      </c>
      <c r="K26" s="137" t="s">
        <v>90</v>
      </c>
      <c r="L26" s="137" t="s">
        <v>90</v>
      </c>
      <c r="M26" s="137" t="s">
        <v>90</v>
      </c>
      <c r="N26" s="137" t="s">
        <v>90</v>
      </c>
      <c r="O26" s="137" t="s">
        <v>90</v>
      </c>
      <c r="P26" s="137" t="s">
        <v>90</v>
      </c>
      <c r="Q26" s="137" t="s">
        <v>90</v>
      </c>
      <c r="S26" s="96" t="s">
        <v>87</v>
      </c>
      <c r="T26" s="982"/>
      <c r="U26" s="1031">
        <v>4</v>
      </c>
      <c r="V26" s="234">
        <v>4</v>
      </c>
      <c r="W26" s="1034">
        <v>1.004791594318976E-2</v>
      </c>
      <c r="X26" s="688">
        <v>2.1686342429599846E-2</v>
      </c>
      <c r="Y26" s="688">
        <v>2.5936893013744931E-2</v>
      </c>
      <c r="Z26" s="688">
        <v>2.9900616850479234E-2</v>
      </c>
      <c r="AA26" s="688">
        <v>3.3263910915742753E-2</v>
      </c>
      <c r="AB26" s="688">
        <v>3.5995534652452116E-2</v>
      </c>
      <c r="AC26" s="688">
        <v>3.8418817323565072E-2</v>
      </c>
      <c r="AD26" s="688">
        <v>4.0341660762193685E-2</v>
      </c>
      <c r="AE26" s="688">
        <v>4.2057042665195242E-2</v>
      </c>
      <c r="AF26" s="688">
        <v>4.3684461409069703E-2</v>
      </c>
      <c r="AG26" s="689">
        <v>4.5121688408491296E-2</v>
      </c>
      <c r="AH26" s="571"/>
      <c r="AI26" s="96" t="s">
        <v>87</v>
      </c>
    </row>
    <row r="27" spans="1:35" ht="14.25" x14ac:dyDescent="0.2">
      <c r="A27" s="978">
        <v>5</v>
      </c>
      <c r="B27" s="234">
        <v>5</v>
      </c>
      <c r="C27" s="137" t="s">
        <v>90</v>
      </c>
      <c r="D27" s="137" t="s">
        <v>90</v>
      </c>
      <c r="E27" s="137" t="s">
        <v>90</v>
      </c>
      <c r="F27" s="137" t="s">
        <v>90</v>
      </c>
      <c r="G27" s="1033" t="s">
        <v>90</v>
      </c>
      <c r="H27" s="137" t="s">
        <v>90</v>
      </c>
      <c r="I27" s="137" t="s">
        <v>90</v>
      </c>
      <c r="J27" s="137" t="s">
        <v>90</v>
      </c>
      <c r="K27" s="137" t="s">
        <v>90</v>
      </c>
      <c r="L27" s="137" t="s">
        <v>90</v>
      </c>
      <c r="M27" s="137" t="s">
        <v>90</v>
      </c>
      <c r="N27" s="137" t="s">
        <v>90</v>
      </c>
      <c r="O27" s="137" t="s">
        <v>90</v>
      </c>
      <c r="P27" s="137" t="s">
        <v>90</v>
      </c>
      <c r="Q27" s="137" t="s">
        <v>90</v>
      </c>
      <c r="S27" s="96" t="s">
        <v>87</v>
      </c>
      <c r="T27" s="982"/>
      <c r="U27" s="1031">
        <v>5</v>
      </c>
      <c r="V27" s="234">
        <v>5</v>
      </c>
      <c r="W27" s="1034">
        <v>2.5127925422665138E-2</v>
      </c>
      <c r="X27" s="688">
        <v>5.0722670872189388E-2</v>
      </c>
      <c r="Y27" s="688">
        <v>5.9847094409703407E-2</v>
      </c>
      <c r="Z27" s="688">
        <v>6.5821444981347621E-2</v>
      </c>
      <c r="AA27" s="688">
        <v>6.9822264363907732E-2</v>
      </c>
      <c r="AB27" s="688">
        <v>7.2579249064266466E-2</v>
      </c>
      <c r="AC27" s="688">
        <v>7.4258320111399045E-2</v>
      </c>
      <c r="AD27" s="688">
        <v>7.5213234045274524E-2</v>
      </c>
      <c r="AE27" s="688">
        <v>7.6051487918246341E-2</v>
      </c>
      <c r="AF27" s="688">
        <v>7.6787875866750455E-2</v>
      </c>
      <c r="AG27" s="689">
        <v>7.7496061677751693E-2</v>
      </c>
      <c r="AH27" s="571"/>
      <c r="AI27" s="96" t="s">
        <v>87</v>
      </c>
    </row>
    <row r="28" spans="1:35" ht="14.25" x14ac:dyDescent="0.2">
      <c r="A28" s="978">
        <v>6</v>
      </c>
      <c r="B28" s="234">
        <v>6</v>
      </c>
      <c r="C28" s="137" t="s">
        <v>90</v>
      </c>
      <c r="D28" s="137" t="s">
        <v>90</v>
      </c>
      <c r="E28" s="137" t="s">
        <v>90</v>
      </c>
      <c r="F28" s="137" t="s">
        <v>90</v>
      </c>
      <c r="G28" s="1033" t="s">
        <v>90</v>
      </c>
      <c r="H28" s="137" t="s">
        <v>90</v>
      </c>
      <c r="I28" s="137" t="s">
        <v>90</v>
      </c>
      <c r="J28" s="137" t="s">
        <v>90</v>
      </c>
      <c r="K28" s="137" t="s">
        <v>90</v>
      </c>
      <c r="L28" s="137" t="s">
        <v>90</v>
      </c>
      <c r="M28" s="137" t="s">
        <v>90</v>
      </c>
      <c r="N28" s="137" t="s">
        <v>90</v>
      </c>
      <c r="O28" s="137" t="s">
        <v>90</v>
      </c>
      <c r="P28" s="137" t="s">
        <v>90</v>
      </c>
      <c r="Q28" s="137" t="s">
        <v>90</v>
      </c>
      <c r="S28" s="96" t="s">
        <v>87</v>
      </c>
      <c r="T28" s="982"/>
      <c r="U28" s="1031">
        <v>6</v>
      </c>
      <c r="V28" s="234">
        <v>6</v>
      </c>
      <c r="W28" s="1034">
        <v>6.2501944718430485E-2</v>
      </c>
      <c r="X28" s="688">
        <v>0.10733333535549112</v>
      </c>
      <c r="Y28" s="688">
        <v>0.11820527552786445</v>
      </c>
      <c r="Z28" s="688">
        <v>0.1229587222279579</v>
      </c>
      <c r="AA28" s="688">
        <v>0.1249070762639653</v>
      </c>
      <c r="AB28" s="688">
        <v>0.12612347047935307</v>
      </c>
      <c r="AC28" s="688">
        <v>0.12667180373219056</v>
      </c>
      <c r="AD28" s="688">
        <v>0.12667180373219056</v>
      </c>
      <c r="AE28" s="688">
        <v>0.12667180373219056</v>
      </c>
      <c r="AF28" s="688">
        <v>0.12667180373219056</v>
      </c>
      <c r="AG28" s="689">
        <v>0.12667180373219056</v>
      </c>
      <c r="AH28" s="571"/>
      <c r="AI28" s="96" t="s">
        <v>87</v>
      </c>
    </row>
    <row r="29" spans="1:35" ht="14.25" x14ac:dyDescent="0.2">
      <c r="A29" s="978">
        <v>7</v>
      </c>
      <c r="B29" s="234">
        <v>7</v>
      </c>
      <c r="C29" s="137" t="s">
        <v>90</v>
      </c>
      <c r="D29" s="137" t="s">
        <v>90</v>
      </c>
      <c r="E29" s="137" t="s">
        <v>90</v>
      </c>
      <c r="F29" s="137" t="s">
        <v>90</v>
      </c>
      <c r="G29" s="1033" t="s">
        <v>90</v>
      </c>
      <c r="H29" s="137" t="s">
        <v>90</v>
      </c>
      <c r="I29" s="137" t="s">
        <v>90</v>
      </c>
      <c r="J29" s="137" t="s">
        <v>90</v>
      </c>
      <c r="K29" s="137" t="s">
        <v>90</v>
      </c>
      <c r="L29" s="137" t="s">
        <v>90</v>
      </c>
      <c r="M29" s="137" t="s">
        <v>90</v>
      </c>
      <c r="N29" s="137" t="s">
        <v>90</v>
      </c>
      <c r="O29" s="137" t="s">
        <v>90</v>
      </c>
      <c r="P29" s="137" t="s">
        <v>90</v>
      </c>
      <c r="Q29" s="137" t="s">
        <v>90</v>
      </c>
      <c r="S29" s="96" t="s">
        <v>87</v>
      </c>
      <c r="T29" s="982"/>
      <c r="U29" s="1031">
        <v>7</v>
      </c>
      <c r="V29" s="234">
        <v>7</v>
      </c>
      <c r="W29" s="1034">
        <v>0.23447641823148646</v>
      </c>
      <c r="X29" s="688">
        <v>0.26177601528913763</v>
      </c>
      <c r="Y29" s="688">
        <v>0.26646327435931205</v>
      </c>
      <c r="Z29" s="688">
        <v>0.26780819424499014</v>
      </c>
      <c r="AA29" s="688">
        <v>0.26780819424499014</v>
      </c>
      <c r="AB29" s="688">
        <v>0.26780819424499014</v>
      </c>
      <c r="AC29" s="688">
        <v>0.26780819424499014</v>
      </c>
      <c r="AD29" s="688">
        <v>0.26780819424499014</v>
      </c>
      <c r="AE29" s="688">
        <v>0.26780819424499014</v>
      </c>
      <c r="AF29" s="688">
        <v>0.26780819424499014</v>
      </c>
      <c r="AG29" s="689">
        <v>0.26780819424499014</v>
      </c>
      <c r="AH29" s="571"/>
      <c r="AI29" s="96" t="s">
        <v>87</v>
      </c>
    </row>
    <row r="30" spans="1:35" ht="14.25" x14ac:dyDescent="0.2">
      <c r="A30" s="978" t="s">
        <v>1254</v>
      </c>
      <c r="B30" s="234">
        <v>8</v>
      </c>
      <c r="C30" s="137" t="s">
        <v>90</v>
      </c>
      <c r="D30" s="137" t="s">
        <v>90</v>
      </c>
      <c r="E30" s="137" t="s">
        <v>90</v>
      </c>
      <c r="F30" s="137" t="s">
        <v>90</v>
      </c>
      <c r="G30" s="1033" t="s">
        <v>90</v>
      </c>
      <c r="H30" s="137" t="s">
        <v>90</v>
      </c>
      <c r="I30" s="137" t="s">
        <v>90</v>
      </c>
      <c r="J30" s="137" t="s">
        <v>90</v>
      </c>
      <c r="K30" s="137" t="s">
        <v>90</v>
      </c>
      <c r="L30" s="137" t="s">
        <v>90</v>
      </c>
      <c r="M30" s="137" t="s">
        <v>90</v>
      </c>
      <c r="N30" s="137" t="s">
        <v>90</v>
      </c>
      <c r="O30" s="137" t="s">
        <v>90</v>
      </c>
      <c r="P30" s="137" t="s">
        <v>90</v>
      </c>
      <c r="Q30" s="137" t="s">
        <v>90</v>
      </c>
      <c r="S30" s="96" t="s">
        <v>87</v>
      </c>
      <c r="T30" s="982"/>
      <c r="U30" s="1031" t="s">
        <v>1254</v>
      </c>
      <c r="V30" s="234">
        <v>8</v>
      </c>
      <c r="W30" s="1034">
        <v>2.5127925422665138E-2</v>
      </c>
      <c r="X30" s="688">
        <v>5.0722670872189388E-2</v>
      </c>
      <c r="Y30" s="688">
        <v>5.9847094409703407E-2</v>
      </c>
      <c r="Z30" s="688">
        <v>6.5821444981347621E-2</v>
      </c>
      <c r="AA30" s="688">
        <v>6.9822264363907732E-2</v>
      </c>
      <c r="AB30" s="688">
        <v>7.2579249064266466E-2</v>
      </c>
      <c r="AC30" s="688">
        <v>7.4258320111399045E-2</v>
      </c>
      <c r="AD30" s="688">
        <v>7.5213234045274524E-2</v>
      </c>
      <c r="AE30" s="688">
        <v>7.6051487918246341E-2</v>
      </c>
      <c r="AF30" s="688">
        <v>7.6787875866750455E-2</v>
      </c>
      <c r="AG30" s="689">
        <v>7.7496061677751693E-2</v>
      </c>
      <c r="AH30" s="571"/>
      <c r="AI30" s="96" t="s">
        <v>87</v>
      </c>
    </row>
    <row r="31" spans="1:35" ht="14.25" x14ac:dyDescent="0.2">
      <c r="A31" s="979" t="s">
        <v>1255</v>
      </c>
      <c r="B31" s="261">
        <v>9</v>
      </c>
      <c r="C31" s="139" t="s">
        <v>90</v>
      </c>
      <c r="D31" s="139" t="s">
        <v>90</v>
      </c>
      <c r="E31" s="139" t="s">
        <v>90</v>
      </c>
      <c r="F31" s="139" t="s">
        <v>90</v>
      </c>
      <c r="G31" s="1035" t="s">
        <v>90</v>
      </c>
      <c r="H31" s="139" t="s">
        <v>90</v>
      </c>
      <c r="I31" s="139" t="s">
        <v>90</v>
      </c>
      <c r="J31" s="139" t="s">
        <v>90</v>
      </c>
      <c r="K31" s="139" t="s">
        <v>90</v>
      </c>
      <c r="L31" s="139" t="s">
        <v>90</v>
      </c>
      <c r="M31" s="139" t="s">
        <v>90</v>
      </c>
      <c r="N31" s="139" t="s">
        <v>90</v>
      </c>
      <c r="O31" s="139" t="s">
        <v>90</v>
      </c>
      <c r="P31" s="139" t="s">
        <v>90</v>
      </c>
      <c r="Q31" s="139" t="s">
        <v>90</v>
      </c>
      <c r="S31" s="96" t="s">
        <v>87</v>
      </c>
      <c r="T31" s="982"/>
      <c r="U31" s="1036" t="s">
        <v>1255</v>
      </c>
      <c r="V31" s="261">
        <v>9</v>
      </c>
      <c r="W31" s="1037">
        <v>0.38</v>
      </c>
      <c r="X31" s="1038">
        <v>0.38</v>
      </c>
      <c r="Y31" s="1038">
        <v>0.38</v>
      </c>
      <c r="Z31" s="1038">
        <v>0.38</v>
      </c>
      <c r="AA31" s="1038">
        <v>0.38</v>
      </c>
      <c r="AB31" s="1038">
        <v>0.38</v>
      </c>
      <c r="AC31" s="1038">
        <v>0.38</v>
      </c>
      <c r="AD31" s="1038">
        <v>0.38</v>
      </c>
      <c r="AE31" s="1038">
        <v>0.38</v>
      </c>
      <c r="AF31" s="1038">
        <v>0.38</v>
      </c>
      <c r="AG31" s="1039">
        <v>0.38</v>
      </c>
      <c r="AH31" s="571"/>
      <c r="AI31" s="96" t="s">
        <v>87</v>
      </c>
    </row>
    <row r="32" spans="1:35" ht="15" x14ac:dyDescent="0.25">
      <c r="A32" s="1021"/>
      <c r="B32" s="1021"/>
      <c r="C32" s="719"/>
      <c r="D32" s="719"/>
      <c r="E32" s="719"/>
      <c r="F32" s="719"/>
      <c r="G32" s="1007"/>
      <c r="H32" s="1007"/>
      <c r="I32" s="1014"/>
      <c r="J32" s="1014"/>
      <c r="K32" s="1014"/>
      <c r="L32" s="1014"/>
      <c r="M32" s="1014"/>
      <c r="N32" s="1014"/>
      <c r="O32" s="1014"/>
      <c r="P32" s="1007"/>
      <c r="Q32" s="1007"/>
      <c r="R32" s="571"/>
      <c r="S32" s="96" t="s">
        <v>87</v>
      </c>
      <c r="T32" s="982"/>
      <c r="AH32" s="571"/>
      <c r="AI32" s="96" t="s">
        <v>87</v>
      </c>
    </row>
    <row r="33" spans="1:35" s="1017" customFormat="1" ht="57" customHeight="1" x14ac:dyDescent="0.25">
      <c r="A33" s="1024" t="s">
        <v>1228</v>
      </c>
      <c r="B33" s="988"/>
      <c r="C33" s="278" t="s">
        <v>1237</v>
      </c>
      <c r="D33" s="278" t="s">
        <v>1238</v>
      </c>
      <c r="E33" s="278" t="s">
        <v>1239</v>
      </c>
      <c r="F33" s="486" t="s">
        <v>1234</v>
      </c>
      <c r="G33" s="278" t="s">
        <v>1240</v>
      </c>
      <c r="H33" s="278" t="s">
        <v>1241</v>
      </c>
      <c r="I33" s="278" t="s">
        <v>1242</v>
      </c>
      <c r="J33" s="278" t="s">
        <v>1243</v>
      </c>
      <c r="K33" s="278" t="s">
        <v>1244</v>
      </c>
      <c r="L33" s="278" t="s">
        <v>1245</v>
      </c>
      <c r="M33" s="278" t="s">
        <v>1246</v>
      </c>
      <c r="N33" s="278" t="s">
        <v>1247</v>
      </c>
      <c r="O33" s="278" t="s">
        <v>1248</v>
      </c>
      <c r="P33" s="278" t="s">
        <v>1249</v>
      </c>
      <c r="Q33" s="278" t="s">
        <v>1250</v>
      </c>
      <c r="R33"/>
      <c r="S33" s="96" t="s">
        <v>87</v>
      </c>
      <c r="T33" s="1040"/>
      <c r="U33" s="1025" t="s">
        <v>1256</v>
      </c>
      <c r="V33" s="718"/>
      <c r="W33" s="1026" t="s">
        <v>1251</v>
      </c>
      <c r="X33" s="1026" t="s">
        <v>1241</v>
      </c>
      <c r="Y33" s="1026" t="s">
        <v>1242</v>
      </c>
      <c r="Z33" s="1026" t="s">
        <v>1243</v>
      </c>
      <c r="AA33" s="1026" t="s">
        <v>1244</v>
      </c>
      <c r="AB33" s="1026" t="s">
        <v>1245</v>
      </c>
      <c r="AC33" s="1026" t="s">
        <v>1246</v>
      </c>
      <c r="AD33" s="1026" t="s">
        <v>1247</v>
      </c>
      <c r="AE33" s="1026" t="s">
        <v>1248</v>
      </c>
      <c r="AF33" s="1026" t="s">
        <v>1249</v>
      </c>
      <c r="AG33" s="1027" t="s">
        <v>1250</v>
      </c>
      <c r="AH33" s="1041"/>
      <c r="AI33" s="96" t="s">
        <v>87</v>
      </c>
    </row>
    <row r="34" spans="1:35" s="1017" customFormat="1" ht="15" x14ac:dyDescent="0.25">
      <c r="A34" s="1028" t="s">
        <v>1252</v>
      </c>
      <c r="B34" s="124">
        <v>111</v>
      </c>
      <c r="C34" s="105">
        <v>1</v>
      </c>
      <c r="D34" s="105">
        <v>2</v>
      </c>
      <c r="E34" s="105">
        <v>3</v>
      </c>
      <c r="F34" s="106">
        <v>4</v>
      </c>
      <c r="G34" s="105">
        <v>5</v>
      </c>
      <c r="H34" s="105">
        <v>6</v>
      </c>
      <c r="I34" s="105">
        <v>7</v>
      </c>
      <c r="J34" s="105">
        <v>8</v>
      </c>
      <c r="K34" s="105">
        <v>9</v>
      </c>
      <c r="L34" s="105">
        <v>10</v>
      </c>
      <c r="M34" s="105">
        <v>11</v>
      </c>
      <c r="N34" s="105">
        <v>12</v>
      </c>
      <c r="O34" s="105">
        <v>13</v>
      </c>
      <c r="P34" s="105">
        <v>14</v>
      </c>
      <c r="Q34" s="106">
        <v>15</v>
      </c>
      <c r="R34"/>
      <c r="S34" s="96" t="s">
        <v>87</v>
      </c>
      <c r="T34" s="1040"/>
      <c r="U34" s="1029" t="s">
        <v>8</v>
      </c>
      <c r="V34" s="675" t="s">
        <v>1257</v>
      </c>
      <c r="W34" s="105">
        <v>5</v>
      </c>
      <c r="X34" s="105">
        <v>6</v>
      </c>
      <c r="Y34" s="105">
        <v>7</v>
      </c>
      <c r="Z34" s="105">
        <v>8</v>
      </c>
      <c r="AA34" s="105">
        <v>9</v>
      </c>
      <c r="AB34" s="105">
        <v>10</v>
      </c>
      <c r="AC34" s="105">
        <v>11</v>
      </c>
      <c r="AD34" s="105">
        <v>12</v>
      </c>
      <c r="AE34" s="105">
        <v>13</v>
      </c>
      <c r="AF34" s="105">
        <v>14</v>
      </c>
      <c r="AG34" s="106">
        <v>15</v>
      </c>
      <c r="AH34" s="1041"/>
      <c r="AI34" s="96" t="s">
        <v>87</v>
      </c>
    </row>
    <row r="35" spans="1:35" ht="14.25" x14ac:dyDescent="0.2">
      <c r="A35" s="212">
        <v>1</v>
      </c>
      <c r="B35" s="234">
        <v>1</v>
      </c>
      <c r="C35" s="149" t="s">
        <v>90</v>
      </c>
      <c r="D35" s="149" t="s">
        <v>90</v>
      </c>
      <c r="E35" s="149" t="s">
        <v>90</v>
      </c>
      <c r="F35" s="149" t="s">
        <v>90</v>
      </c>
      <c r="G35" s="1030" t="s">
        <v>90</v>
      </c>
      <c r="H35" s="149" t="s">
        <v>90</v>
      </c>
      <c r="I35" s="149" t="s">
        <v>90</v>
      </c>
      <c r="J35" s="149" t="s">
        <v>90</v>
      </c>
      <c r="K35" s="149" t="s">
        <v>90</v>
      </c>
      <c r="L35" s="149" t="s">
        <v>90</v>
      </c>
      <c r="M35" s="149" t="s">
        <v>90</v>
      </c>
      <c r="N35" s="149" t="s">
        <v>90</v>
      </c>
      <c r="O35" s="149" t="s">
        <v>90</v>
      </c>
      <c r="P35" s="149" t="s">
        <v>90</v>
      </c>
      <c r="Q35" s="149" t="s">
        <v>90</v>
      </c>
      <c r="S35" s="96" t="s">
        <v>87</v>
      </c>
      <c r="T35" s="982"/>
      <c r="U35" s="1031">
        <v>1</v>
      </c>
      <c r="V35" s="234">
        <v>1</v>
      </c>
      <c r="W35" s="1032">
        <v>2.0087027387081097E-3</v>
      </c>
      <c r="X35" s="683">
        <v>6.8744303656738115E-3</v>
      </c>
      <c r="Y35" s="683">
        <v>8.7680517278494654E-3</v>
      </c>
      <c r="Z35" s="683">
        <v>1.1524571263911976E-2</v>
      </c>
      <c r="AA35" s="683">
        <v>1.391781780752757E-2</v>
      </c>
      <c r="AB35" s="683">
        <v>1.5769403936443615E-2</v>
      </c>
      <c r="AC35" s="683">
        <v>1.7430764719093376E-2</v>
      </c>
      <c r="AD35" s="683">
        <v>1.866109544785512E-2</v>
      </c>
      <c r="AE35" s="683">
        <v>1.9692383741216419E-2</v>
      </c>
      <c r="AF35" s="683">
        <v>2.0813391821370496E-2</v>
      </c>
      <c r="AG35" s="684">
        <v>2.1882053384704878E-2</v>
      </c>
      <c r="AH35" s="571"/>
      <c r="AI35" s="96" t="s">
        <v>87</v>
      </c>
    </row>
    <row r="36" spans="1:35" ht="14.25" x14ac:dyDescent="0.2">
      <c r="A36" s="978">
        <v>2</v>
      </c>
      <c r="B36" s="234">
        <v>2</v>
      </c>
      <c r="C36" s="137" t="s">
        <v>90</v>
      </c>
      <c r="D36" s="137" t="s">
        <v>90</v>
      </c>
      <c r="E36" s="137" t="s">
        <v>90</v>
      </c>
      <c r="F36" s="137" t="s">
        <v>90</v>
      </c>
      <c r="G36" s="1033" t="s">
        <v>90</v>
      </c>
      <c r="H36" s="137" t="s">
        <v>90</v>
      </c>
      <c r="I36" s="137" t="s">
        <v>90</v>
      </c>
      <c r="J36" s="137" t="s">
        <v>90</v>
      </c>
      <c r="K36" s="137" t="s">
        <v>90</v>
      </c>
      <c r="L36" s="137" t="s">
        <v>90</v>
      </c>
      <c r="M36" s="137" t="s">
        <v>90</v>
      </c>
      <c r="N36" s="137" t="s">
        <v>90</v>
      </c>
      <c r="O36" s="137" t="s">
        <v>90</v>
      </c>
      <c r="P36" s="137" t="s">
        <v>90</v>
      </c>
      <c r="Q36" s="137" t="s">
        <v>90</v>
      </c>
      <c r="S36" s="96" t="s">
        <v>87</v>
      </c>
      <c r="T36" s="982"/>
      <c r="U36" s="1031">
        <v>2</v>
      </c>
      <c r="V36" s="234">
        <v>2</v>
      </c>
      <c r="W36" s="1034">
        <v>2.0087027387081097E-3</v>
      </c>
      <c r="X36" s="688">
        <v>6.8744303656738115E-3</v>
      </c>
      <c r="Y36" s="688">
        <v>8.7680517278494654E-3</v>
      </c>
      <c r="Z36" s="688">
        <v>1.1524571263911976E-2</v>
      </c>
      <c r="AA36" s="688">
        <v>1.391781780752757E-2</v>
      </c>
      <c r="AB36" s="688">
        <v>1.5769403936443615E-2</v>
      </c>
      <c r="AC36" s="688">
        <v>1.7430764719093376E-2</v>
      </c>
      <c r="AD36" s="688">
        <v>1.866109544785512E-2</v>
      </c>
      <c r="AE36" s="688">
        <v>1.9692383741216419E-2</v>
      </c>
      <c r="AF36" s="688">
        <v>2.0813391821370496E-2</v>
      </c>
      <c r="AG36" s="689">
        <v>2.1882053384704878E-2</v>
      </c>
      <c r="AH36" s="571"/>
      <c r="AI36" s="96" t="s">
        <v>87</v>
      </c>
    </row>
    <row r="37" spans="1:35" ht="15.6" customHeight="1" x14ac:dyDescent="0.2">
      <c r="A37" s="978">
        <v>3</v>
      </c>
      <c r="B37" s="234">
        <v>3</v>
      </c>
      <c r="C37" s="137" t="s">
        <v>90</v>
      </c>
      <c r="D37" s="137" t="s">
        <v>90</v>
      </c>
      <c r="E37" s="137" t="s">
        <v>90</v>
      </c>
      <c r="F37" s="137" t="s">
        <v>90</v>
      </c>
      <c r="G37" s="1033" t="s">
        <v>90</v>
      </c>
      <c r="H37" s="137" t="s">
        <v>90</v>
      </c>
      <c r="I37" s="137" t="s">
        <v>90</v>
      </c>
      <c r="J37" s="137" t="s">
        <v>90</v>
      </c>
      <c r="K37" s="137" t="s">
        <v>90</v>
      </c>
      <c r="L37" s="137" t="s">
        <v>90</v>
      </c>
      <c r="M37" s="137" t="s">
        <v>90</v>
      </c>
      <c r="N37" s="137" t="s">
        <v>90</v>
      </c>
      <c r="O37" s="137" t="s">
        <v>90</v>
      </c>
      <c r="P37" s="137" t="s">
        <v>90</v>
      </c>
      <c r="Q37" s="137" t="s">
        <v>90</v>
      </c>
      <c r="S37" s="96" t="s">
        <v>87</v>
      </c>
      <c r="T37" s="982"/>
      <c r="U37" s="1031">
        <v>3</v>
      </c>
      <c r="V37" s="234">
        <v>3</v>
      </c>
      <c r="W37" s="1034">
        <v>5.891034014937283E-3</v>
      </c>
      <c r="X37" s="688">
        <v>1.3041983247527908E-2</v>
      </c>
      <c r="Y37" s="688">
        <v>1.566359954518784E-2</v>
      </c>
      <c r="Z37" s="688">
        <v>1.8459399704198794E-2</v>
      </c>
      <c r="AA37" s="688">
        <v>2.1081057141620431E-2</v>
      </c>
      <c r="AB37" s="688">
        <v>2.3463123645097228E-2</v>
      </c>
      <c r="AC37" s="688">
        <v>2.6048213398732936E-2</v>
      </c>
      <c r="AD37" s="688">
        <v>2.7984072408239181E-2</v>
      </c>
      <c r="AE37" s="688">
        <v>2.9738328468298676E-2</v>
      </c>
      <c r="AF37" s="688">
        <v>3.1520390059039359E-2</v>
      </c>
      <c r="AG37" s="689">
        <v>3.2978472435880077E-2</v>
      </c>
      <c r="AH37" s="571"/>
      <c r="AI37" s="96" t="s">
        <v>87</v>
      </c>
    </row>
    <row r="38" spans="1:35" ht="14.25" x14ac:dyDescent="0.2">
      <c r="A38" s="978">
        <v>4</v>
      </c>
      <c r="B38" s="234">
        <v>4</v>
      </c>
      <c r="C38" s="137" t="s">
        <v>90</v>
      </c>
      <c r="D38" s="137" t="s">
        <v>90</v>
      </c>
      <c r="E38" s="137" t="s">
        <v>90</v>
      </c>
      <c r="F38" s="137" t="s">
        <v>90</v>
      </c>
      <c r="G38" s="1033" t="s">
        <v>90</v>
      </c>
      <c r="H38" s="137" t="s">
        <v>90</v>
      </c>
      <c r="I38" s="137" t="s">
        <v>90</v>
      </c>
      <c r="J38" s="137" t="s">
        <v>90</v>
      </c>
      <c r="K38" s="137" t="s">
        <v>90</v>
      </c>
      <c r="L38" s="137" t="s">
        <v>90</v>
      </c>
      <c r="M38" s="137" t="s">
        <v>90</v>
      </c>
      <c r="N38" s="137" t="s">
        <v>90</v>
      </c>
      <c r="O38" s="137" t="s">
        <v>90</v>
      </c>
      <c r="P38" s="137" t="s">
        <v>90</v>
      </c>
      <c r="Q38" s="137" t="s">
        <v>90</v>
      </c>
      <c r="S38" s="96" t="s">
        <v>87</v>
      </c>
      <c r="T38" s="982"/>
      <c r="U38" s="1031">
        <v>4</v>
      </c>
      <c r="V38" s="234">
        <v>4</v>
      </c>
      <c r="W38" s="1034">
        <v>1.4204797871442238E-2</v>
      </c>
      <c r="X38" s="688">
        <v>3.0330701611671784E-2</v>
      </c>
      <c r="Y38" s="688">
        <v>3.6210186482302023E-2</v>
      </c>
      <c r="Z38" s="688">
        <v>4.1341833996759676E-2</v>
      </c>
      <c r="AA38" s="688">
        <v>4.5446764689865068E-2</v>
      </c>
      <c r="AB38" s="688">
        <v>4.8527945659807011E-2</v>
      </c>
      <c r="AC38" s="688">
        <v>5.0789421248397207E-2</v>
      </c>
      <c r="AD38" s="688">
        <v>5.2699249116148185E-2</v>
      </c>
      <c r="AE38" s="688">
        <v>5.4375756862091812E-2</v>
      </c>
      <c r="AF38" s="688">
        <v>5.5848532759100039E-2</v>
      </c>
      <c r="AG38" s="689">
        <v>5.7264904381102516E-2</v>
      </c>
      <c r="AH38" s="571"/>
      <c r="AI38" s="96" t="s">
        <v>87</v>
      </c>
    </row>
    <row r="39" spans="1:35" ht="14.25" x14ac:dyDescent="0.2">
      <c r="A39" s="978">
        <v>5</v>
      </c>
      <c r="B39" s="234">
        <v>5</v>
      </c>
      <c r="C39" s="137" t="s">
        <v>90</v>
      </c>
      <c r="D39" s="137" t="s">
        <v>90</v>
      </c>
      <c r="E39" s="137" t="s">
        <v>90</v>
      </c>
      <c r="F39" s="137" t="s">
        <v>90</v>
      </c>
      <c r="G39" s="1033" t="s">
        <v>90</v>
      </c>
      <c r="H39" s="137" t="s">
        <v>90</v>
      </c>
      <c r="I39" s="137" t="s">
        <v>90</v>
      </c>
      <c r="J39" s="137" t="s">
        <v>90</v>
      </c>
      <c r="K39" s="137" t="s">
        <v>90</v>
      </c>
      <c r="L39" s="137" t="s">
        <v>90</v>
      </c>
      <c r="M39" s="137" t="s">
        <v>90</v>
      </c>
      <c r="N39" s="137" t="s">
        <v>90</v>
      </c>
      <c r="O39" s="137" t="s">
        <v>90</v>
      </c>
      <c r="P39" s="137" t="s">
        <v>90</v>
      </c>
      <c r="Q39" s="137" t="s">
        <v>90</v>
      </c>
      <c r="S39" s="96" t="s">
        <v>87</v>
      </c>
      <c r="T39" s="982"/>
      <c r="U39" s="1031">
        <v>5</v>
      </c>
      <c r="V39" s="234">
        <v>5</v>
      </c>
      <c r="W39" s="1034">
        <v>3.605105297388804E-2</v>
      </c>
      <c r="X39" s="688">
        <v>7.1114640132706991E-2</v>
      </c>
      <c r="Y39" s="688">
        <v>8.348400233710479E-2</v>
      </c>
      <c r="Z39" s="688">
        <v>9.0301055965935573E-2</v>
      </c>
      <c r="AA39" s="688">
        <v>9.4197764037950382E-2</v>
      </c>
      <c r="AB39" s="688">
        <v>9.6630552468725928E-2</v>
      </c>
      <c r="AC39" s="688">
        <v>9.772721897440087E-2</v>
      </c>
      <c r="AD39" s="688">
        <v>9.772721897440087E-2</v>
      </c>
      <c r="AE39" s="688">
        <v>9.772721897440087E-2</v>
      </c>
      <c r="AF39" s="688">
        <v>9.772721897440087E-2</v>
      </c>
      <c r="AG39" s="689">
        <v>9.772721897440087E-2</v>
      </c>
      <c r="AH39" s="571"/>
      <c r="AI39" s="96" t="s">
        <v>87</v>
      </c>
    </row>
    <row r="40" spans="1:35" ht="14.25" x14ac:dyDescent="0.2">
      <c r="A40" s="978">
        <v>6</v>
      </c>
      <c r="B40" s="234">
        <v>6</v>
      </c>
      <c r="C40" s="137" t="s">
        <v>90</v>
      </c>
      <c r="D40" s="137" t="s">
        <v>90</v>
      </c>
      <c r="E40" s="137" t="s">
        <v>90</v>
      </c>
      <c r="F40" s="137" t="s">
        <v>90</v>
      </c>
      <c r="G40" s="1033" t="s">
        <v>90</v>
      </c>
      <c r="H40" s="137" t="s">
        <v>90</v>
      </c>
      <c r="I40" s="137" t="s">
        <v>90</v>
      </c>
      <c r="J40" s="137" t="s">
        <v>90</v>
      </c>
      <c r="K40" s="137" t="s">
        <v>90</v>
      </c>
      <c r="L40" s="137" t="s">
        <v>90</v>
      </c>
      <c r="M40" s="137" t="s">
        <v>90</v>
      </c>
      <c r="N40" s="137" t="s">
        <v>90</v>
      </c>
      <c r="O40" s="137" t="s">
        <v>90</v>
      </c>
      <c r="P40" s="137" t="s">
        <v>90</v>
      </c>
      <c r="Q40" s="137" t="s">
        <v>90</v>
      </c>
      <c r="S40" s="96" t="s">
        <v>87</v>
      </c>
      <c r="T40" s="982"/>
      <c r="U40" s="1031">
        <v>6</v>
      </c>
      <c r="V40" s="234">
        <v>6</v>
      </c>
      <c r="W40" s="1034">
        <v>8.8952836462972931E-2</v>
      </c>
      <c r="X40" s="688">
        <v>0.14355203057827526</v>
      </c>
      <c r="Y40" s="688">
        <v>0.1529265487186241</v>
      </c>
      <c r="Z40" s="688">
        <v>0.15561638848998022</v>
      </c>
      <c r="AA40" s="688">
        <v>0.15561638848998022</v>
      </c>
      <c r="AB40" s="688">
        <v>0.15561638848998022</v>
      </c>
      <c r="AC40" s="688">
        <v>0.15561638848998022</v>
      </c>
      <c r="AD40" s="688">
        <v>0.15561638848998022</v>
      </c>
      <c r="AE40" s="688">
        <v>0.15561638848998022</v>
      </c>
      <c r="AF40" s="688">
        <v>0.15561638848998022</v>
      </c>
      <c r="AG40" s="689">
        <v>0.15561638848998022</v>
      </c>
      <c r="AH40" s="571"/>
      <c r="AI40" s="96" t="s">
        <v>87</v>
      </c>
    </row>
    <row r="41" spans="1:35" ht="14.25" x14ac:dyDescent="0.2">
      <c r="A41" s="978">
        <v>7</v>
      </c>
      <c r="B41" s="234">
        <v>7</v>
      </c>
      <c r="C41" s="137" t="s">
        <v>90</v>
      </c>
      <c r="D41" s="137" t="s">
        <v>90</v>
      </c>
      <c r="E41" s="137" t="s">
        <v>90</v>
      </c>
      <c r="F41" s="137" t="s">
        <v>90</v>
      </c>
      <c r="G41" s="1033" t="s">
        <v>90</v>
      </c>
      <c r="H41" s="137" t="s">
        <v>90</v>
      </c>
      <c r="I41" s="137" t="s">
        <v>90</v>
      </c>
      <c r="J41" s="137" t="s">
        <v>90</v>
      </c>
      <c r="K41" s="137" t="s">
        <v>90</v>
      </c>
      <c r="L41" s="137" t="s">
        <v>90</v>
      </c>
      <c r="M41" s="137" t="s">
        <v>90</v>
      </c>
      <c r="N41" s="137" t="s">
        <v>90</v>
      </c>
      <c r="O41" s="137" t="s">
        <v>90</v>
      </c>
      <c r="P41" s="137" t="s">
        <v>90</v>
      </c>
      <c r="Q41" s="137" t="s">
        <v>90</v>
      </c>
      <c r="S41" s="96" t="s">
        <v>87</v>
      </c>
      <c r="T41" s="982"/>
      <c r="U41" s="1031">
        <v>7</v>
      </c>
      <c r="V41" s="234">
        <v>7</v>
      </c>
      <c r="W41" s="1034">
        <v>0.38</v>
      </c>
      <c r="X41" s="688">
        <v>0.38</v>
      </c>
      <c r="Y41" s="688">
        <v>0.38</v>
      </c>
      <c r="Z41" s="688">
        <v>0.38</v>
      </c>
      <c r="AA41" s="688">
        <v>0.38</v>
      </c>
      <c r="AB41" s="688">
        <v>0.38</v>
      </c>
      <c r="AC41" s="688">
        <v>0.38</v>
      </c>
      <c r="AD41" s="688">
        <v>0.38</v>
      </c>
      <c r="AE41" s="688">
        <v>0.38</v>
      </c>
      <c r="AF41" s="688">
        <v>0.38</v>
      </c>
      <c r="AG41" s="689">
        <v>0.38</v>
      </c>
      <c r="AH41" s="571"/>
      <c r="AI41" s="96" t="s">
        <v>87</v>
      </c>
    </row>
    <row r="42" spans="1:35" ht="14.25" x14ac:dyDescent="0.2">
      <c r="A42" s="978" t="s">
        <v>1254</v>
      </c>
      <c r="B42" s="234">
        <v>8</v>
      </c>
      <c r="C42" s="137" t="s">
        <v>90</v>
      </c>
      <c r="D42" s="137" t="s">
        <v>90</v>
      </c>
      <c r="E42" s="137" t="s">
        <v>90</v>
      </c>
      <c r="F42" s="137" t="s">
        <v>90</v>
      </c>
      <c r="G42" s="1033" t="s">
        <v>90</v>
      </c>
      <c r="H42" s="137" t="s">
        <v>90</v>
      </c>
      <c r="I42" s="137" t="s">
        <v>90</v>
      </c>
      <c r="J42" s="137" t="s">
        <v>90</v>
      </c>
      <c r="K42" s="137" t="s">
        <v>90</v>
      </c>
      <c r="L42" s="137" t="s">
        <v>90</v>
      </c>
      <c r="M42" s="137" t="s">
        <v>90</v>
      </c>
      <c r="N42" s="137" t="s">
        <v>90</v>
      </c>
      <c r="O42" s="137" t="s">
        <v>90</v>
      </c>
      <c r="P42" s="137" t="s">
        <v>90</v>
      </c>
      <c r="Q42" s="137" t="s">
        <v>90</v>
      </c>
      <c r="S42" s="96" t="s">
        <v>87</v>
      </c>
      <c r="T42" s="982"/>
      <c r="U42" s="1031" t="s">
        <v>1254</v>
      </c>
      <c r="V42" s="234">
        <v>8</v>
      </c>
      <c r="W42" s="1034">
        <v>6.2501944718430485E-2</v>
      </c>
      <c r="X42" s="688">
        <v>0.10733333535549112</v>
      </c>
      <c r="Y42" s="688">
        <v>0.11820527552786445</v>
      </c>
      <c r="Z42" s="688">
        <v>0.1229587222279579</v>
      </c>
      <c r="AA42" s="688">
        <v>0.1249070762639653</v>
      </c>
      <c r="AB42" s="688">
        <v>0.12612347047935307</v>
      </c>
      <c r="AC42" s="688">
        <v>0.12667180373219056</v>
      </c>
      <c r="AD42" s="688">
        <v>0.12667180373219056</v>
      </c>
      <c r="AE42" s="688">
        <v>0.12667180373219056</v>
      </c>
      <c r="AF42" s="688">
        <v>0.12667180373219056</v>
      </c>
      <c r="AG42" s="689">
        <v>0.12667180373219056</v>
      </c>
      <c r="AH42" s="571"/>
      <c r="AI42" s="96" t="s">
        <v>87</v>
      </c>
    </row>
    <row r="43" spans="1:35" ht="14.25" x14ac:dyDescent="0.2">
      <c r="A43" s="979" t="s">
        <v>1255</v>
      </c>
      <c r="B43" s="261">
        <v>9</v>
      </c>
      <c r="C43" s="139" t="s">
        <v>90</v>
      </c>
      <c r="D43" s="139" t="s">
        <v>90</v>
      </c>
      <c r="E43" s="139" t="s">
        <v>90</v>
      </c>
      <c r="F43" s="139" t="s">
        <v>90</v>
      </c>
      <c r="G43" s="1035" t="s">
        <v>90</v>
      </c>
      <c r="H43" s="139" t="s">
        <v>90</v>
      </c>
      <c r="I43" s="139" t="s">
        <v>90</v>
      </c>
      <c r="J43" s="139" t="s">
        <v>90</v>
      </c>
      <c r="K43" s="139" t="s">
        <v>90</v>
      </c>
      <c r="L43" s="139" t="s">
        <v>90</v>
      </c>
      <c r="M43" s="139" t="s">
        <v>90</v>
      </c>
      <c r="N43" s="139" t="s">
        <v>90</v>
      </c>
      <c r="O43" s="139" t="s">
        <v>90</v>
      </c>
      <c r="P43" s="139" t="s">
        <v>90</v>
      </c>
      <c r="Q43" s="139" t="s">
        <v>90</v>
      </c>
      <c r="S43" s="96" t="s">
        <v>87</v>
      </c>
      <c r="T43" s="982"/>
      <c r="U43" s="1036" t="s">
        <v>1255</v>
      </c>
      <c r="V43" s="261">
        <v>9</v>
      </c>
      <c r="W43" s="1037">
        <v>0.38</v>
      </c>
      <c r="X43" s="1038">
        <v>0.38</v>
      </c>
      <c r="Y43" s="1038">
        <v>0.38</v>
      </c>
      <c r="Z43" s="1038">
        <v>0.38</v>
      </c>
      <c r="AA43" s="1038">
        <v>0.38</v>
      </c>
      <c r="AB43" s="1038">
        <v>0.38</v>
      </c>
      <c r="AC43" s="1038">
        <v>0.38</v>
      </c>
      <c r="AD43" s="1038">
        <v>0.38</v>
      </c>
      <c r="AE43" s="1038">
        <v>0.38</v>
      </c>
      <c r="AF43" s="1038">
        <v>0.38</v>
      </c>
      <c r="AG43" s="1039">
        <v>0.38</v>
      </c>
      <c r="AH43" s="571"/>
      <c r="AI43" s="96" t="s">
        <v>87</v>
      </c>
    </row>
    <row r="44" spans="1:35" ht="14.25" x14ac:dyDescent="0.2">
      <c r="G44" s="719"/>
      <c r="H44" s="719"/>
      <c r="I44" s="719"/>
      <c r="J44" s="719"/>
      <c r="K44" s="719"/>
      <c r="L44" s="719"/>
      <c r="M44" s="719"/>
      <c r="N44" s="719"/>
      <c r="O44" s="719"/>
      <c r="P44" s="719"/>
      <c r="Q44" s="719"/>
      <c r="S44" s="96" t="s">
        <v>87</v>
      </c>
      <c r="T44" s="982"/>
      <c r="U44" s="148"/>
      <c r="V44" s="148"/>
      <c r="W44" s="148"/>
      <c r="X44" s="148"/>
      <c r="AH44" s="571"/>
      <c r="AI44" s="96" t="s">
        <v>87</v>
      </c>
    </row>
    <row r="45" spans="1:35" ht="14.25" x14ac:dyDescent="0.2">
      <c r="A45" s="1021"/>
      <c r="B45" s="1021"/>
      <c r="C45" s="719"/>
      <c r="D45" s="719"/>
      <c r="E45" s="719"/>
      <c r="F45" s="719"/>
      <c r="G45" s="719"/>
      <c r="H45" s="719"/>
      <c r="I45" s="719"/>
      <c r="J45" s="719"/>
      <c r="K45" s="719"/>
      <c r="L45" s="719"/>
      <c r="M45" s="719"/>
      <c r="N45" s="719"/>
      <c r="O45" s="719"/>
      <c r="P45" s="719"/>
      <c r="Q45" s="719"/>
      <c r="S45" s="96" t="s">
        <v>87</v>
      </c>
      <c r="T45" s="982"/>
      <c r="U45" s="148"/>
      <c r="V45" s="148"/>
      <c r="W45" s="148"/>
      <c r="X45" s="148"/>
      <c r="AH45" s="571"/>
      <c r="AI45" s="96" t="s">
        <v>87</v>
      </c>
    </row>
    <row r="46" spans="1:35" s="1017" customFormat="1" ht="42.75" x14ac:dyDescent="0.25">
      <c r="A46" s="1024" t="s">
        <v>1258</v>
      </c>
      <c r="B46" s="988"/>
      <c r="C46" s="278" t="s">
        <v>1237</v>
      </c>
      <c r="D46" s="1042"/>
      <c r="E46" s="278" t="s">
        <v>1239</v>
      </c>
      <c r="F46" s="1042"/>
      <c r="G46" s="278" t="s">
        <v>1240</v>
      </c>
      <c r="H46" s="278" t="s">
        <v>1241</v>
      </c>
      <c r="I46" s="278" t="s">
        <v>1242</v>
      </c>
      <c r="J46" s="278" t="s">
        <v>1243</v>
      </c>
      <c r="K46" s="278" t="s">
        <v>1244</v>
      </c>
      <c r="L46" s="278" t="s">
        <v>1245</v>
      </c>
      <c r="M46" s="278" t="s">
        <v>1246</v>
      </c>
      <c r="N46" s="278" t="s">
        <v>1247</v>
      </c>
      <c r="O46" s="278" t="s">
        <v>1248</v>
      </c>
      <c r="P46" s="278" t="s">
        <v>1249</v>
      </c>
      <c r="Q46" s="278" t="s">
        <v>1250</v>
      </c>
      <c r="R46"/>
      <c r="S46" s="96" t="s">
        <v>87</v>
      </c>
      <c r="T46" s="1040"/>
      <c r="U46" s="1025" t="s">
        <v>1258</v>
      </c>
      <c r="V46" s="718"/>
      <c r="W46" s="1026" t="s">
        <v>1251</v>
      </c>
      <c r="X46" s="1026" t="s">
        <v>1241</v>
      </c>
      <c r="Y46" s="1026" t="s">
        <v>1242</v>
      </c>
      <c r="Z46" s="1026" t="s">
        <v>1243</v>
      </c>
      <c r="AA46" s="1026" t="s">
        <v>1244</v>
      </c>
      <c r="AB46" s="1026" t="s">
        <v>1245</v>
      </c>
      <c r="AC46" s="1026" t="s">
        <v>1246</v>
      </c>
      <c r="AD46" s="1026" t="s">
        <v>1247</v>
      </c>
      <c r="AE46" s="1026" t="s">
        <v>1248</v>
      </c>
      <c r="AF46" s="1026" t="s">
        <v>1249</v>
      </c>
      <c r="AG46" s="1027" t="s">
        <v>1250</v>
      </c>
      <c r="AH46" s="1041"/>
      <c r="AI46" s="96" t="s">
        <v>87</v>
      </c>
    </row>
    <row r="47" spans="1:35" s="1017" customFormat="1" ht="15" x14ac:dyDescent="0.25">
      <c r="A47" s="1028" t="s">
        <v>1252</v>
      </c>
      <c r="B47" s="104">
        <v>112</v>
      </c>
      <c r="C47" s="105">
        <v>1</v>
      </c>
      <c r="D47" s="105"/>
      <c r="E47" s="105">
        <v>3</v>
      </c>
      <c r="F47" s="105"/>
      <c r="G47" s="105">
        <v>5</v>
      </c>
      <c r="H47" s="105">
        <v>6</v>
      </c>
      <c r="I47" s="105">
        <v>7</v>
      </c>
      <c r="J47" s="105">
        <v>8</v>
      </c>
      <c r="K47" s="105">
        <v>9</v>
      </c>
      <c r="L47" s="105">
        <v>10</v>
      </c>
      <c r="M47" s="105">
        <v>11</v>
      </c>
      <c r="N47" s="105">
        <v>12</v>
      </c>
      <c r="O47" s="105">
        <v>13</v>
      </c>
      <c r="P47" s="105">
        <v>14</v>
      </c>
      <c r="Q47" s="106">
        <v>15</v>
      </c>
      <c r="R47"/>
      <c r="S47" s="96" t="s">
        <v>87</v>
      </c>
      <c r="T47" s="1040"/>
      <c r="U47" s="1029" t="s">
        <v>8</v>
      </c>
      <c r="V47" s="1043" t="s">
        <v>1259</v>
      </c>
      <c r="W47" s="105">
        <v>5</v>
      </c>
      <c r="X47" s="105">
        <v>6</v>
      </c>
      <c r="Y47" s="105">
        <v>7</v>
      </c>
      <c r="Z47" s="105">
        <v>8</v>
      </c>
      <c r="AA47" s="105">
        <v>9</v>
      </c>
      <c r="AB47" s="105">
        <v>10</v>
      </c>
      <c r="AC47" s="105">
        <v>11</v>
      </c>
      <c r="AD47" s="105">
        <v>12</v>
      </c>
      <c r="AE47" s="105">
        <v>13</v>
      </c>
      <c r="AF47" s="105">
        <v>14</v>
      </c>
      <c r="AG47" s="106">
        <v>15</v>
      </c>
      <c r="AH47" s="1041"/>
      <c r="AI47" s="96" t="s">
        <v>87</v>
      </c>
    </row>
    <row r="48" spans="1:35" ht="14.25" x14ac:dyDescent="0.2">
      <c r="A48" s="212">
        <v>1</v>
      </c>
      <c r="B48" s="234">
        <v>1</v>
      </c>
      <c r="C48" s="149" t="s">
        <v>90</v>
      </c>
      <c r="D48" s="848"/>
      <c r="E48" s="149" t="s">
        <v>90</v>
      </c>
      <c r="F48" s="848"/>
      <c r="G48" s="149" t="s">
        <v>90</v>
      </c>
      <c r="H48" s="149" t="s">
        <v>90</v>
      </c>
      <c r="I48" s="149" t="s">
        <v>90</v>
      </c>
      <c r="J48" s="149" t="s">
        <v>90</v>
      </c>
      <c r="K48" s="149" t="s">
        <v>90</v>
      </c>
      <c r="L48" s="149" t="s">
        <v>90</v>
      </c>
      <c r="M48" s="149" t="s">
        <v>90</v>
      </c>
      <c r="N48" s="149" t="s">
        <v>90</v>
      </c>
      <c r="O48" s="149" t="s">
        <v>90</v>
      </c>
      <c r="P48" s="149" t="s">
        <v>90</v>
      </c>
      <c r="Q48" s="149" t="s">
        <v>90</v>
      </c>
      <c r="S48" s="96" t="s">
        <v>87</v>
      </c>
      <c r="T48" s="982"/>
      <c r="U48" s="1031">
        <v>1</v>
      </c>
      <c r="V48" s="945">
        <v>1</v>
      </c>
      <c r="W48" s="1032">
        <v>2.0087027387081097E-3</v>
      </c>
      <c r="X48" s="683">
        <v>6.8744303656738115E-3</v>
      </c>
      <c r="Y48" s="683">
        <v>8.7680517278494654E-3</v>
      </c>
      <c r="Z48" s="683">
        <v>1.1524571263911976E-2</v>
      </c>
      <c r="AA48" s="683">
        <v>1.391781780752757E-2</v>
      </c>
      <c r="AB48" s="683">
        <v>1.5769403936443615E-2</v>
      </c>
      <c r="AC48" s="683">
        <v>1.7430764719093376E-2</v>
      </c>
      <c r="AD48" s="683">
        <v>1.866109544785512E-2</v>
      </c>
      <c r="AE48" s="683">
        <v>1.9692383741216419E-2</v>
      </c>
      <c r="AF48" s="683">
        <v>2.0813391821370496E-2</v>
      </c>
      <c r="AG48" s="684">
        <v>2.1882053384704878E-2</v>
      </c>
      <c r="AH48" s="571"/>
      <c r="AI48" s="96" t="s">
        <v>87</v>
      </c>
    </row>
    <row r="49" spans="1:35" ht="14.25" x14ac:dyDescent="0.2">
      <c r="A49" s="978">
        <v>2</v>
      </c>
      <c r="B49" s="234">
        <v>2</v>
      </c>
      <c r="C49" s="137" t="s">
        <v>90</v>
      </c>
      <c r="D49" s="289"/>
      <c r="E49" s="137" t="s">
        <v>90</v>
      </c>
      <c r="F49" s="289"/>
      <c r="G49" s="137" t="s">
        <v>90</v>
      </c>
      <c r="H49" s="137" t="s">
        <v>90</v>
      </c>
      <c r="I49" s="137" t="s">
        <v>90</v>
      </c>
      <c r="J49" s="137" t="s">
        <v>90</v>
      </c>
      <c r="K49" s="137" t="s">
        <v>90</v>
      </c>
      <c r="L49" s="137" t="s">
        <v>90</v>
      </c>
      <c r="M49" s="137" t="s">
        <v>90</v>
      </c>
      <c r="N49" s="137" t="s">
        <v>90</v>
      </c>
      <c r="O49" s="137" t="s">
        <v>90</v>
      </c>
      <c r="P49" s="137" t="s">
        <v>90</v>
      </c>
      <c r="Q49" s="137" t="s">
        <v>90</v>
      </c>
      <c r="S49" s="96" t="s">
        <v>87</v>
      </c>
      <c r="T49" s="982"/>
      <c r="U49" s="1031">
        <v>2</v>
      </c>
      <c r="V49" s="945">
        <v>2</v>
      </c>
      <c r="W49" s="1034">
        <v>2.0087027387081097E-3</v>
      </c>
      <c r="X49" s="688">
        <v>6.8744303656738115E-3</v>
      </c>
      <c r="Y49" s="688">
        <v>8.7680517278494654E-3</v>
      </c>
      <c r="Z49" s="688">
        <v>1.1524571263911976E-2</v>
      </c>
      <c r="AA49" s="688">
        <v>1.391781780752757E-2</v>
      </c>
      <c r="AB49" s="688">
        <v>1.5769403936443615E-2</v>
      </c>
      <c r="AC49" s="688">
        <v>1.7430764719093376E-2</v>
      </c>
      <c r="AD49" s="688">
        <v>1.866109544785512E-2</v>
      </c>
      <c r="AE49" s="688">
        <v>1.9692383741216419E-2</v>
      </c>
      <c r="AF49" s="688">
        <v>2.0813391821370496E-2</v>
      </c>
      <c r="AG49" s="689">
        <v>2.1882053384704878E-2</v>
      </c>
      <c r="AH49" s="571"/>
      <c r="AI49" s="96" t="s">
        <v>87</v>
      </c>
    </row>
    <row r="50" spans="1:35" ht="15.6" customHeight="1" x14ac:dyDescent="0.2">
      <c r="A50" s="978">
        <v>3</v>
      </c>
      <c r="B50" s="234">
        <v>3</v>
      </c>
      <c r="C50" s="137" t="s">
        <v>90</v>
      </c>
      <c r="D50" s="289"/>
      <c r="E50" s="137" t="s">
        <v>90</v>
      </c>
      <c r="F50" s="289"/>
      <c r="G50" s="137" t="s">
        <v>90</v>
      </c>
      <c r="H50" s="137" t="s">
        <v>90</v>
      </c>
      <c r="I50" s="137" t="s">
        <v>90</v>
      </c>
      <c r="J50" s="137" t="s">
        <v>90</v>
      </c>
      <c r="K50" s="137" t="s">
        <v>90</v>
      </c>
      <c r="L50" s="137" t="s">
        <v>90</v>
      </c>
      <c r="M50" s="137" t="s">
        <v>90</v>
      </c>
      <c r="N50" s="137" t="s">
        <v>90</v>
      </c>
      <c r="O50" s="137" t="s">
        <v>90</v>
      </c>
      <c r="P50" s="137" t="s">
        <v>90</v>
      </c>
      <c r="Q50" s="137" t="s">
        <v>90</v>
      </c>
      <c r="S50" s="96" t="s">
        <v>87</v>
      </c>
      <c r="T50" s="982"/>
      <c r="U50" s="1031">
        <v>3</v>
      </c>
      <c r="V50" s="945">
        <v>3</v>
      </c>
      <c r="W50" s="1034">
        <v>5.891034014937283E-3</v>
      </c>
      <c r="X50" s="688">
        <v>1.3041983247527908E-2</v>
      </c>
      <c r="Y50" s="688">
        <v>1.566359954518784E-2</v>
      </c>
      <c r="Z50" s="688">
        <v>1.8459399704198794E-2</v>
      </c>
      <c r="AA50" s="688">
        <v>2.1081057141620431E-2</v>
      </c>
      <c r="AB50" s="688">
        <v>2.3463123645097228E-2</v>
      </c>
      <c r="AC50" s="688">
        <v>2.6048213398732936E-2</v>
      </c>
      <c r="AD50" s="688">
        <v>2.7984072408239181E-2</v>
      </c>
      <c r="AE50" s="688">
        <v>2.9738328468298676E-2</v>
      </c>
      <c r="AF50" s="688">
        <v>3.1520390059039359E-2</v>
      </c>
      <c r="AG50" s="689">
        <v>3.2978472435880077E-2</v>
      </c>
      <c r="AH50" s="571"/>
      <c r="AI50" s="96" t="s">
        <v>87</v>
      </c>
    </row>
    <row r="51" spans="1:35" ht="14.25" x14ac:dyDescent="0.2">
      <c r="A51" s="978">
        <v>4</v>
      </c>
      <c r="B51" s="234">
        <v>4</v>
      </c>
      <c r="C51" s="137" t="s">
        <v>90</v>
      </c>
      <c r="D51" s="289"/>
      <c r="E51" s="137" t="s">
        <v>90</v>
      </c>
      <c r="F51" s="289"/>
      <c r="G51" s="137" t="s">
        <v>90</v>
      </c>
      <c r="H51" s="137" t="s">
        <v>90</v>
      </c>
      <c r="I51" s="137" t="s">
        <v>90</v>
      </c>
      <c r="J51" s="137" t="s">
        <v>90</v>
      </c>
      <c r="K51" s="137" t="s">
        <v>90</v>
      </c>
      <c r="L51" s="137" t="s">
        <v>90</v>
      </c>
      <c r="M51" s="137" t="s">
        <v>90</v>
      </c>
      <c r="N51" s="137" t="s">
        <v>90</v>
      </c>
      <c r="O51" s="137" t="s">
        <v>90</v>
      </c>
      <c r="P51" s="137" t="s">
        <v>90</v>
      </c>
      <c r="Q51" s="137" t="s">
        <v>90</v>
      </c>
      <c r="S51" s="96" t="s">
        <v>87</v>
      </c>
      <c r="T51" s="982"/>
      <c r="U51" s="1031">
        <v>4</v>
      </c>
      <c r="V51" s="945">
        <v>4</v>
      </c>
      <c r="W51" s="1034">
        <v>1.4204797871442238E-2</v>
      </c>
      <c r="X51" s="688">
        <v>3.0330701611671784E-2</v>
      </c>
      <c r="Y51" s="688">
        <v>3.6210186482302023E-2</v>
      </c>
      <c r="Z51" s="688">
        <v>4.1341833996759676E-2</v>
      </c>
      <c r="AA51" s="688">
        <v>4.5446764689865068E-2</v>
      </c>
      <c r="AB51" s="688">
        <v>4.8527945659807011E-2</v>
      </c>
      <c r="AC51" s="688">
        <v>5.0789421248397207E-2</v>
      </c>
      <c r="AD51" s="688">
        <v>5.2699249116148185E-2</v>
      </c>
      <c r="AE51" s="688">
        <v>5.4375756862091812E-2</v>
      </c>
      <c r="AF51" s="688">
        <v>5.5848532759100039E-2</v>
      </c>
      <c r="AG51" s="689">
        <v>5.7264904381102516E-2</v>
      </c>
      <c r="AH51" s="571"/>
      <c r="AI51" s="96" t="s">
        <v>87</v>
      </c>
    </row>
    <row r="52" spans="1:35" ht="14.25" x14ac:dyDescent="0.2">
      <c r="A52" s="978">
        <v>5</v>
      </c>
      <c r="B52" s="234">
        <v>5</v>
      </c>
      <c r="C52" s="137" t="s">
        <v>90</v>
      </c>
      <c r="D52" s="289"/>
      <c r="E52" s="137" t="s">
        <v>90</v>
      </c>
      <c r="F52" s="289"/>
      <c r="G52" s="137" t="s">
        <v>90</v>
      </c>
      <c r="H52" s="137" t="s">
        <v>90</v>
      </c>
      <c r="I52" s="137" t="s">
        <v>90</v>
      </c>
      <c r="J52" s="137" t="s">
        <v>90</v>
      </c>
      <c r="K52" s="137" t="s">
        <v>90</v>
      </c>
      <c r="L52" s="137" t="s">
        <v>90</v>
      </c>
      <c r="M52" s="137" t="s">
        <v>90</v>
      </c>
      <c r="N52" s="137" t="s">
        <v>90</v>
      </c>
      <c r="O52" s="137" t="s">
        <v>90</v>
      </c>
      <c r="P52" s="137" t="s">
        <v>90</v>
      </c>
      <c r="Q52" s="137" t="s">
        <v>90</v>
      </c>
      <c r="S52" s="96" t="s">
        <v>87</v>
      </c>
      <c r="T52" s="982"/>
      <c r="U52" s="1031">
        <v>5</v>
      </c>
      <c r="V52" s="945">
        <v>5</v>
      </c>
      <c r="W52" s="1034">
        <v>0.10815315892166412</v>
      </c>
      <c r="X52" s="688">
        <v>0.21334392039812097</v>
      </c>
      <c r="Y52" s="688">
        <v>0.25045200701131437</v>
      </c>
      <c r="Z52" s="688">
        <v>0.27090316789780672</v>
      </c>
      <c r="AA52" s="688">
        <v>0.28259329211385115</v>
      </c>
      <c r="AB52" s="688">
        <v>0.28989165740617778</v>
      </c>
      <c r="AC52" s="688">
        <v>0.29318165692320264</v>
      </c>
      <c r="AD52" s="688">
        <v>0.29318165692320264</v>
      </c>
      <c r="AE52" s="688">
        <v>0.29318165692320264</v>
      </c>
      <c r="AF52" s="688">
        <v>0.29318165692320264</v>
      </c>
      <c r="AG52" s="689">
        <v>0.29318165692320264</v>
      </c>
      <c r="AH52" s="571"/>
      <c r="AI52" s="96" t="s">
        <v>87</v>
      </c>
    </row>
    <row r="53" spans="1:35" ht="14.25" x14ac:dyDescent="0.2">
      <c r="A53" s="978">
        <v>6</v>
      </c>
      <c r="B53" s="234">
        <v>6</v>
      </c>
      <c r="C53" s="137" t="s">
        <v>90</v>
      </c>
      <c r="D53" s="289"/>
      <c r="E53" s="137" t="s">
        <v>90</v>
      </c>
      <c r="F53" s="289"/>
      <c r="G53" s="137" t="s">
        <v>90</v>
      </c>
      <c r="H53" s="137" t="s">
        <v>90</v>
      </c>
      <c r="I53" s="137" t="s">
        <v>90</v>
      </c>
      <c r="J53" s="137" t="s">
        <v>90</v>
      </c>
      <c r="K53" s="137" t="s">
        <v>90</v>
      </c>
      <c r="L53" s="137" t="s">
        <v>90</v>
      </c>
      <c r="M53" s="137" t="s">
        <v>90</v>
      </c>
      <c r="N53" s="137" t="s">
        <v>90</v>
      </c>
      <c r="O53" s="137" t="s">
        <v>90</v>
      </c>
      <c r="P53" s="137" t="s">
        <v>90</v>
      </c>
      <c r="Q53" s="137" t="s">
        <v>90</v>
      </c>
      <c r="S53" s="96" t="s">
        <v>87</v>
      </c>
      <c r="T53" s="982"/>
      <c r="U53" s="1031">
        <v>6</v>
      </c>
      <c r="V53" s="945">
        <v>6</v>
      </c>
      <c r="W53" s="1034">
        <v>1</v>
      </c>
      <c r="X53" s="688">
        <v>1</v>
      </c>
      <c r="Y53" s="688">
        <v>1</v>
      </c>
      <c r="Z53" s="688">
        <v>1</v>
      </c>
      <c r="AA53" s="688">
        <v>1</v>
      </c>
      <c r="AB53" s="688">
        <v>1</v>
      </c>
      <c r="AC53" s="688">
        <v>1</v>
      </c>
      <c r="AD53" s="688">
        <v>1</v>
      </c>
      <c r="AE53" s="688">
        <v>1</v>
      </c>
      <c r="AF53" s="688">
        <v>1</v>
      </c>
      <c r="AG53" s="689">
        <v>1</v>
      </c>
      <c r="AH53" s="571"/>
      <c r="AI53" s="96" t="s">
        <v>87</v>
      </c>
    </row>
    <row r="54" spans="1:35" ht="14.25" x14ac:dyDescent="0.2">
      <c r="A54" s="978">
        <v>7</v>
      </c>
      <c r="B54" s="234">
        <v>7</v>
      </c>
      <c r="C54" s="137" t="s">
        <v>90</v>
      </c>
      <c r="D54" s="289"/>
      <c r="E54" s="137" t="s">
        <v>90</v>
      </c>
      <c r="F54" s="289"/>
      <c r="G54" s="137" t="s">
        <v>90</v>
      </c>
      <c r="H54" s="137" t="s">
        <v>90</v>
      </c>
      <c r="I54" s="137" t="s">
        <v>90</v>
      </c>
      <c r="J54" s="137" t="s">
        <v>90</v>
      </c>
      <c r="K54" s="137" t="s">
        <v>90</v>
      </c>
      <c r="L54" s="137" t="s">
        <v>90</v>
      </c>
      <c r="M54" s="137" t="s">
        <v>90</v>
      </c>
      <c r="N54" s="137" t="s">
        <v>90</v>
      </c>
      <c r="O54" s="137" t="s">
        <v>90</v>
      </c>
      <c r="P54" s="137" t="s">
        <v>90</v>
      </c>
      <c r="Q54" s="137" t="s">
        <v>90</v>
      </c>
      <c r="S54" s="96" t="s">
        <v>87</v>
      </c>
      <c r="T54" s="982"/>
      <c r="U54" s="1031">
        <v>7</v>
      </c>
      <c r="V54" s="945">
        <v>7</v>
      </c>
      <c r="W54" s="1034">
        <v>1</v>
      </c>
      <c r="X54" s="688">
        <v>1</v>
      </c>
      <c r="Y54" s="688">
        <v>1</v>
      </c>
      <c r="Z54" s="688">
        <v>1</v>
      </c>
      <c r="AA54" s="688">
        <v>1</v>
      </c>
      <c r="AB54" s="688">
        <v>1</v>
      </c>
      <c r="AC54" s="688">
        <v>1</v>
      </c>
      <c r="AD54" s="688">
        <v>1</v>
      </c>
      <c r="AE54" s="688">
        <v>1</v>
      </c>
      <c r="AF54" s="688">
        <v>1</v>
      </c>
      <c r="AG54" s="689">
        <v>1</v>
      </c>
      <c r="AH54" s="571"/>
      <c r="AI54" s="96" t="s">
        <v>87</v>
      </c>
    </row>
    <row r="55" spans="1:35" ht="14.25" x14ac:dyDescent="0.2">
      <c r="A55" s="978" t="s">
        <v>1254</v>
      </c>
      <c r="B55" s="234">
        <v>8</v>
      </c>
      <c r="C55" s="137" t="s">
        <v>90</v>
      </c>
      <c r="D55" s="289"/>
      <c r="E55" s="137" t="s">
        <v>90</v>
      </c>
      <c r="F55" s="289"/>
      <c r="G55" s="137" t="s">
        <v>90</v>
      </c>
      <c r="H55" s="137" t="s">
        <v>90</v>
      </c>
      <c r="I55" s="137" t="s">
        <v>90</v>
      </c>
      <c r="J55" s="137" t="s">
        <v>90</v>
      </c>
      <c r="K55" s="137" t="s">
        <v>90</v>
      </c>
      <c r="L55" s="137" t="s">
        <v>90</v>
      </c>
      <c r="M55" s="137" t="s">
        <v>90</v>
      </c>
      <c r="N55" s="137" t="s">
        <v>90</v>
      </c>
      <c r="O55" s="137" t="s">
        <v>90</v>
      </c>
      <c r="P55" s="137" t="s">
        <v>90</v>
      </c>
      <c r="Q55" s="137" t="s">
        <v>90</v>
      </c>
      <c r="S55" s="96" t="s">
        <v>87</v>
      </c>
      <c r="T55" s="982"/>
      <c r="U55" s="1031" t="s">
        <v>1254</v>
      </c>
      <c r="V55" s="945">
        <v>8</v>
      </c>
      <c r="W55" s="1034">
        <v>1</v>
      </c>
      <c r="X55" s="688">
        <v>1</v>
      </c>
      <c r="Y55" s="688">
        <v>1</v>
      </c>
      <c r="Z55" s="688">
        <v>1</v>
      </c>
      <c r="AA55" s="688">
        <v>1</v>
      </c>
      <c r="AB55" s="688">
        <v>1</v>
      </c>
      <c r="AC55" s="688">
        <v>1</v>
      </c>
      <c r="AD55" s="688">
        <v>1</v>
      </c>
      <c r="AE55" s="688">
        <v>1</v>
      </c>
      <c r="AF55" s="688">
        <v>1</v>
      </c>
      <c r="AG55" s="689">
        <v>1</v>
      </c>
      <c r="AH55" s="571"/>
      <c r="AI55" s="96" t="s">
        <v>87</v>
      </c>
    </row>
    <row r="56" spans="1:35" ht="14.25" x14ac:dyDescent="0.2">
      <c r="A56" s="979" t="s">
        <v>1255</v>
      </c>
      <c r="B56" s="261">
        <v>9</v>
      </c>
      <c r="C56" s="139" t="s">
        <v>90</v>
      </c>
      <c r="D56" s="293"/>
      <c r="E56" s="139" t="s">
        <v>90</v>
      </c>
      <c r="F56" s="293"/>
      <c r="G56" s="139" t="s">
        <v>90</v>
      </c>
      <c r="H56" s="139" t="s">
        <v>90</v>
      </c>
      <c r="I56" s="139" t="s">
        <v>90</v>
      </c>
      <c r="J56" s="139" t="s">
        <v>90</v>
      </c>
      <c r="K56" s="139" t="s">
        <v>90</v>
      </c>
      <c r="L56" s="139" t="s">
        <v>90</v>
      </c>
      <c r="M56" s="139" t="s">
        <v>90</v>
      </c>
      <c r="N56" s="139" t="s">
        <v>90</v>
      </c>
      <c r="O56" s="139" t="s">
        <v>90</v>
      </c>
      <c r="P56" s="139" t="s">
        <v>90</v>
      </c>
      <c r="Q56" s="139" t="s">
        <v>90</v>
      </c>
      <c r="S56" s="96" t="s">
        <v>87</v>
      </c>
      <c r="T56" s="982"/>
      <c r="U56" s="1036" t="s">
        <v>1255</v>
      </c>
      <c r="V56" s="989">
        <v>9</v>
      </c>
      <c r="W56" s="1037">
        <v>1</v>
      </c>
      <c r="X56" s="1038">
        <v>1</v>
      </c>
      <c r="Y56" s="1038">
        <v>1</v>
      </c>
      <c r="Z56" s="1038">
        <v>1</v>
      </c>
      <c r="AA56" s="1038">
        <v>1</v>
      </c>
      <c r="AB56" s="1038">
        <v>1</v>
      </c>
      <c r="AC56" s="1038">
        <v>1</v>
      </c>
      <c r="AD56" s="1038">
        <v>1</v>
      </c>
      <c r="AE56" s="1038">
        <v>1</v>
      </c>
      <c r="AF56" s="1038">
        <v>1</v>
      </c>
      <c r="AG56" s="1039">
        <v>1</v>
      </c>
      <c r="AH56" s="571"/>
      <c r="AI56" s="96" t="s">
        <v>87</v>
      </c>
    </row>
    <row r="57" spans="1:35" ht="14.25" x14ac:dyDescent="0.2">
      <c r="S57" s="96" t="s">
        <v>87</v>
      </c>
      <c r="T57" s="982"/>
      <c r="U57" s="148"/>
      <c r="V57" s="148"/>
      <c r="W57" s="148"/>
      <c r="X57" s="148"/>
      <c r="AH57" s="571"/>
      <c r="AI57" s="96" t="s">
        <v>87</v>
      </c>
    </row>
    <row r="58" spans="1:35" ht="14.25" x14ac:dyDescent="0.2">
      <c r="A58" s="1021"/>
      <c r="B58" s="1021"/>
      <c r="C58" s="719"/>
      <c r="D58" s="719"/>
      <c r="E58" s="719"/>
      <c r="F58" s="719"/>
      <c r="G58" s="719"/>
      <c r="H58" s="719"/>
      <c r="I58" s="719"/>
      <c r="J58" s="719"/>
      <c r="K58" s="719"/>
      <c r="L58" s="719"/>
      <c r="M58" s="719"/>
      <c r="N58" s="719"/>
      <c r="O58" s="719"/>
      <c r="P58" s="719"/>
      <c r="Q58" s="719"/>
      <c r="S58" s="96" t="s">
        <v>87</v>
      </c>
      <c r="T58" s="982"/>
      <c r="U58" s="148"/>
      <c r="V58" s="148"/>
      <c r="W58" s="148"/>
      <c r="X58" s="148"/>
      <c r="AH58" s="571"/>
      <c r="AI58" s="96" t="s">
        <v>87</v>
      </c>
    </row>
    <row r="59" spans="1:35" s="1017" customFormat="1" ht="37.5" customHeight="1" x14ac:dyDescent="0.25">
      <c r="A59" s="1024" t="s">
        <v>1260</v>
      </c>
      <c r="B59" s="988"/>
      <c r="C59" s="278" t="s">
        <v>1237</v>
      </c>
      <c r="D59" s="1042"/>
      <c r="E59" s="278" t="s">
        <v>1239</v>
      </c>
      <c r="F59" s="1042"/>
      <c r="G59" s="278" t="s">
        <v>1240</v>
      </c>
      <c r="H59" s="278" t="s">
        <v>1241</v>
      </c>
      <c r="I59" s="278" t="s">
        <v>1242</v>
      </c>
      <c r="J59" s="278" t="s">
        <v>1243</v>
      </c>
      <c r="K59" s="278" t="s">
        <v>1244</v>
      </c>
      <c r="L59" s="278" t="s">
        <v>1245</v>
      </c>
      <c r="M59" s="278" t="s">
        <v>1246</v>
      </c>
      <c r="N59" s="278" t="s">
        <v>1247</v>
      </c>
      <c r="O59" s="278" t="s">
        <v>1248</v>
      </c>
      <c r="P59" s="278" t="s">
        <v>1249</v>
      </c>
      <c r="Q59" s="278" t="s">
        <v>1250</v>
      </c>
      <c r="R59"/>
      <c r="S59" s="96" t="s">
        <v>87</v>
      </c>
      <c r="T59" s="1040"/>
      <c r="U59" s="1025" t="s">
        <v>1261</v>
      </c>
      <c r="V59" s="718"/>
      <c r="W59" s="1026" t="s">
        <v>1251</v>
      </c>
      <c r="X59" s="1026" t="s">
        <v>1241</v>
      </c>
      <c r="Y59" s="1026" t="s">
        <v>1242</v>
      </c>
      <c r="Z59" s="1026" t="s">
        <v>1243</v>
      </c>
      <c r="AA59" s="1026" t="s">
        <v>1244</v>
      </c>
      <c r="AB59" s="1026" t="s">
        <v>1245</v>
      </c>
      <c r="AC59" s="1026" t="s">
        <v>1246</v>
      </c>
      <c r="AD59" s="1026" t="s">
        <v>1247</v>
      </c>
      <c r="AE59" s="1026" t="s">
        <v>1248</v>
      </c>
      <c r="AF59" s="1026" t="s">
        <v>1249</v>
      </c>
      <c r="AG59" s="1027" t="s">
        <v>1250</v>
      </c>
      <c r="AH59" s="1041"/>
      <c r="AI59" s="96" t="s">
        <v>87</v>
      </c>
    </row>
    <row r="60" spans="1:35" s="1017" customFormat="1" ht="15" x14ac:dyDescent="0.25">
      <c r="A60" s="1028" t="s">
        <v>1252</v>
      </c>
      <c r="B60" s="104">
        <v>113</v>
      </c>
      <c r="C60" s="105">
        <v>1</v>
      </c>
      <c r="D60" s="105"/>
      <c r="E60" s="105">
        <v>3</v>
      </c>
      <c r="F60" s="105"/>
      <c r="G60" s="105">
        <v>5</v>
      </c>
      <c r="H60" s="105">
        <v>6</v>
      </c>
      <c r="I60" s="105">
        <v>7</v>
      </c>
      <c r="J60" s="105">
        <v>8</v>
      </c>
      <c r="K60" s="105">
        <v>9</v>
      </c>
      <c r="L60" s="105">
        <v>10</v>
      </c>
      <c r="M60" s="105">
        <v>11</v>
      </c>
      <c r="N60" s="105">
        <v>12</v>
      </c>
      <c r="O60" s="105">
        <v>13</v>
      </c>
      <c r="P60" s="105">
        <v>14</v>
      </c>
      <c r="Q60" s="106">
        <v>15</v>
      </c>
      <c r="R60"/>
      <c r="S60" s="96" t="s">
        <v>87</v>
      </c>
      <c r="T60" s="1040"/>
      <c r="U60" s="1029" t="s">
        <v>8</v>
      </c>
      <c r="V60" s="1043" t="s">
        <v>1253</v>
      </c>
      <c r="W60" s="105">
        <v>5</v>
      </c>
      <c r="X60" s="105">
        <v>6</v>
      </c>
      <c r="Y60" s="105">
        <v>7</v>
      </c>
      <c r="Z60" s="105">
        <v>8</v>
      </c>
      <c r="AA60" s="105">
        <v>9</v>
      </c>
      <c r="AB60" s="105">
        <v>10</v>
      </c>
      <c r="AC60" s="105">
        <v>11</v>
      </c>
      <c r="AD60" s="105">
        <v>12</v>
      </c>
      <c r="AE60" s="105">
        <v>13</v>
      </c>
      <c r="AF60" s="105">
        <v>14</v>
      </c>
      <c r="AG60" s="106">
        <v>15</v>
      </c>
      <c r="AH60" s="1041"/>
      <c r="AI60" s="96" t="s">
        <v>87</v>
      </c>
    </row>
    <row r="61" spans="1:35" ht="14.25" x14ac:dyDescent="0.2">
      <c r="A61" s="212">
        <v>1</v>
      </c>
      <c r="B61" s="234">
        <v>1</v>
      </c>
      <c r="C61" s="149" t="s">
        <v>90</v>
      </c>
      <c r="D61" s="848"/>
      <c r="E61" s="149" t="s">
        <v>90</v>
      </c>
      <c r="F61" s="848"/>
      <c r="G61" s="149" t="s">
        <v>90</v>
      </c>
      <c r="H61" s="149" t="s">
        <v>90</v>
      </c>
      <c r="I61" s="149" t="s">
        <v>90</v>
      </c>
      <c r="J61" s="149" t="s">
        <v>90</v>
      </c>
      <c r="K61" s="149" t="s">
        <v>90</v>
      </c>
      <c r="L61" s="149" t="s">
        <v>90</v>
      </c>
      <c r="M61" s="149" t="s">
        <v>90</v>
      </c>
      <c r="N61" s="149" t="s">
        <v>90</v>
      </c>
      <c r="O61" s="149" t="s">
        <v>90</v>
      </c>
      <c r="P61" s="149" t="s">
        <v>90</v>
      </c>
      <c r="Q61" s="149" t="s">
        <v>90</v>
      </c>
      <c r="S61" s="96" t="s">
        <v>87</v>
      </c>
      <c r="T61" s="982"/>
      <c r="U61" s="1031">
        <v>1</v>
      </c>
      <c r="V61" s="945">
        <v>1</v>
      </c>
      <c r="W61" s="1032">
        <v>4.0174054774162193E-3</v>
      </c>
      <c r="X61" s="683">
        <v>1.3748860731347623E-2</v>
      </c>
      <c r="Y61" s="683">
        <v>1.7536103455698931E-2</v>
      </c>
      <c r="Z61" s="683">
        <v>2.3049142527823953E-2</v>
      </c>
      <c r="AA61" s="683">
        <v>2.783563561505514E-2</v>
      </c>
      <c r="AB61" s="683">
        <v>3.153880787288723E-2</v>
      </c>
      <c r="AC61" s="683">
        <v>3.4861529438186753E-2</v>
      </c>
      <c r="AD61" s="683">
        <v>3.732219089571024E-2</v>
      </c>
      <c r="AE61" s="683">
        <v>3.9384767482432838E-2</v>
      </c>
      <c r="AF61" s="683">
        <v>4.1626783642740993E-2</v>
      </c>
      <c r="AG61" s="684">
        <v>4.3764106769409755E-2</v>
      </c>
      <c r="AH61" s="571"/>
      <c r="AI61" s="96" t="s">
        <v>87</v>
      </c>
    </row>
    <row r="62" spans="1:35" ht="14.25" x14ac:dyDescent="0.2">
      <c r="A62" s="978">
        <v>2</v>
      </c>
      <c r="B62" s="234">
        <v>2</v>
      </c>
      <c r="C62" s="137" t="s">
        <v>90</v>
      </c>
      <c r="D62" s="289"/>
      <c r="E62" s="137" t="s">
        <v>90</v>
      </c>
      <c r="F62" s="289"/>
      <c r="G62" s="137" t="s">
        <v>90</v>
      </c>
      <c r="H62" s="137" t="s">
        <v>90</v>
      </c>
      <c r="I62" s="137" t="s">
        <v>90</v>
      </c>
      <c r="J62" s="137" t="s">
        <v>90</v>
      </c>
      <c r="K62" s="137" t="s">
        <v>90</v>
      </c>
      <c r="L62" s="137" t="s">
        <v>90</v>
      </c>
      <c r="M62" s="137" t="s">
        <v>90</v>
      </c>
      <c r="N62" s="137" t="s">
        <v>90</v>
      </c>
      <c r="O62" s="137" t="s">
        <v>90</v>
      </c>
      <c r="P62" s="137" t="s">
        <v>90</v>
      </c>
      <c r="Q62" s="137" t="s">
        <v>90</v>
      </c>
      <c r="S62" s="96" t="s">
        <v>87</v>
      </c>
      <c r="T62" s="982"/>
      <c r="U62" s="1031">
        <v>2</v>
      </c>
      <c r="V62" s="945">
        <v>2</v>
      </c>
      <c r="W62" s="1034">
        <v>4.0174054774162193E-3</v>
      </c>
      <c r="X62" s="688">
        <v>1.3748860731347623E-2</v>
      </c>
      <c r="Y62" s="688">
        <v>1.7536103455698931E-2</v>
      </c>
      <c r="Z62" s="688">
        <v>2.3049142527823953E-2</v>
      </c>
      <c r="AA62" s="688">
        <v>2.783563561505514E-2</v>
      </c>
      <c r="AB62" s="688">
        <v>3.153880787288723E-2</v>
      </c>
      <c r="AC62" s="688">
        <v>3.4861529438186753E-2</v>
      </c>
      <c r="AD62" s="688">
        <v>3.732219089571024E-2</v>
      </c>
      <c r="AE62" s="688">
        <v>3.9384767482432838E-2</v>
      </c>
      <c r="AF62" s="688">
        <v>4.1626783642740993E-2</v>
      </c>
      <c r="AG62" s="689">
        <v>4.3764106769409755E-2</v>
      </c>
      <c r="AH62" s="571"/>
      <c r="AI62" s="96" t="s">
        <v>87</v>
      </c>
    </row>
    <row r="63" spans="1:35" ht="15.6" customHeight="1" x14ac:dyDescent="0.2">
      <c r="A63" s="978">
        <v>3</v>
      </c>
      <c r="B63" s="234">
        <v>3</v>
      </c>
      <c r="C63" s="137" t="s">
        <v>90</v>
      </c>
      <c r="D63" s="289"/>
      <c r="E63" s="137" t="s">
        <v>90</v>
      </c>
      <c r="F63" s="289"/>
      <c r="G63" s="137" t="s">
        <v>90</v>
      </c>
      <c r="H63" s="137" t="s">
        <v>90</v>
      </c>
      <c r="I63" s="137" t="s">
        <v>90</v>
      </c>
      <c r="J63" s="137" t="s">
        <v>90</v>
      </c>
      <c r="K63" s="137" t="s">
        <v>90</v>
      </c>
      <c r="L63" s="137" t="s">
        <v>90</v>
      </c>
      <c r="M63" s="137" t="s">
        <v>90</v>
      </c>
      <c r="N63" s="137" t="s">
        <v>90</v>
      </c>
      <c r="O63" s="137" t="s">
        <v>90</v>
      </c>
      <c r="P63" s="137" t="s">
        <v>90</v>
      </c>
      <c r="Q63" s="137" t="s">
        <v>90</v>
      </c>
      <c r="S63" s="96" t="s">
        <v>87</v>
      </c>
      <c r="T63" s="982"/>
      <c r="U63" s="1031">
        <v>3</v>
      </c>
      <c r="V63" s="945">
        <v>3</v>
      </c>
      <c r="W63" s="1034">
        <v>1.1782068029874566E-2</v>
      </c>
      <c r="X63" s="688">
        <v>2.6083966495055816E-2</v>
      </c>
      <c r="Y63" s="688">
        <v>3.1327199090375679E-2</v>
      </c>
      <c r="Z63" s="688">
        <v>3.6918799408397589E-2</v>
      </c>
      <c r="AA63" s="688">
        <v>4.2162114283240862E-2</v>
      </c>
      <c r="AB63" s="688">
        <v>4.6926247290194456E-2</v>
      </c>
      <c r="AC63" s="688">
        <v>5.2096426797465872E-2</v>
      </c>
      <c r="AD63" s="688">
        <v>5.5968144816478362E-2</v>
      </c>
      <c r="AE63" s="688">
        <v>5.9476656936597351E-2</v>
      </c>
      <c r="AF63" s="688">
        <v>6.3040780118078718E-2</v>
      </c>
      <c r="AG63" s="689">
        <v>6.5956944871760154E-2</v>
      </c>
      <c r="AH63" s="571"/>
      <c r="AI63" s="96" t="s">
        <v>87</v>
      </c>
    </row>
    <row r="64" spans="1:35" ht="14.25" x14ac:dyDescent="0.2">
      <c r="A64" s="978">
        <v>4</v>
      </c>
      <c r="B64" s="234">
        <v>4</v>
      </c>
      <c r="C64" s="137" t="s">
        <v>90</v>
      </c>
      <c r="D64" s="289"/>
      <c r="E64" s="137" t="s">
        <v>90</v>
      </c>
      <c r="F64" s="289"/>
      <c r="G64" s="137" t="s">
        <v>90</v>
      </c>
      <c r="H64" s="137" t="s">
        <v>90</v>
      </c>
      <c r="I64" s="137" t="s">
        <v>90</v>
      </c>
      <c r="J64" s="137" t="s">
        <v>90</v>
      </c>
      <c r="K64" s="137" t="s">
        <v>90</v>
      </c>
      <c r="L64" s="137" t="s">
        <v>90</v>
      </c>
      <c r="M64" s="137" t="s">
        <v>90</v>
      </c>
      <c r="N64" s="137" t="s">
        <v>90</v>
      </c>
      <c r="O64" s="137" t="s">
        <v>90</v>
      </c>
      <c r="P64" s="137" t="s">
        <v>90</v>
      </c>
      <c r="Q64" s="137" t="s">
        <v>90</v>
      </c>
      <c r="S64" s="96" t="s">
        <v>87</v>
      </c>
      <c r="T64" s="982"/>
      <c r="U64" s="1031">
        <v>4</v>
      </c>
      <c r="V64" s="945">
        <v>4</v>
      </c>
      <c r="W64" s="1034">
        <v>2.8409595742884475E-2</v>
      </c>
      <c r="X64" s="688">
        <v>6.0661403223343568E-2</v>
      </c>
      <c r="Y64" s="688">
        <v>7.2420372964604046E-2</v>
      </c>
      <c r="Z64" s="688">
        <v>8.2683667993519352E-2</v>
      </c>
      <c r="AA64" s="688">
        <v>9.0893529379730137E-2</v>
      </c>
      <c r="AB64" s="688">
        <v>9.7055891319614021E-2</v>
      </c>
      <c r="AC64" s="688">
        <v>0.10157884249679441</v>
      </c>
      <c r="AD64" s="688">
        <v>0.10539849823229637</v>
      </c>
      <c r="AE64" s="688">
        <v>0.10875151372418362</v>
      </c>
      <c r="AF64" s="688">
        <v>0.11169706551820008</v>
      </c>
      <c r="AG64" s="689">
        <v>0.11452980876220503</v>
      </c>
      <c r="AH64" s="571"/>
      <c r="AI64" s="96" t="s">
        <v>87</v>
      </c>
    </row>
    <row r="65" spans="1:35" ht="14.25" x14ac:dyDescent="0.2">
      <c r="A65" s="978">
        <v>5</v>
      </c>
      <c r="B65" s="234">
        <v>5</v>
      </c>
      <c r="C65" s="137" t="s">
        <v>90</v>
      </c>
      <c r="D65" s="289"/>
      <c r="E65" s="137" t="s">
        <v>90</v>
      </c>
      <c r="F65" s="289"/>
      <c r="G65" s="137" t="s">
        <v>90</v>
      </c>
      <c r="H65" s="137" t="s">
        <v>90</v>
      </c>
      <c r="I65" s="137" t="s">
        <v>90</v>
      </c>
      <c r="J65" s="137" t="s">
        <v>90</v>
      </c>
      <c r="K65" s="137" t="s">
        <v>90</v>
      </c>
      <c r="L65" s="137" t="s">
        <v>90</v>
      </c>
      <c r="M65" s="137" t="s">
        <v>90</v>
      </c>
      <c r="N65" s="137" t="s">
        <v>90</v>
      </c>
      <c r="O65" s="137" t="s">
        <v>90</v>
      </c>
      <c r="P65" s="137" t="s">
        <v>90</v>
      </c>
      <c r="Q65" s="137" t="s">
        <v>90</v>
      </c>
      <c r="S65" s="96" t="s">
        <v>87</v>
      </c>
      <c r="T65" s="982"/>
      <c r="U65" s="1031">
        <v>5</v>
      </c>
      <c r="V65" s="945">
        <v>5</v>
      </c>
      <c r="W65" s="1034">
        <v>0.21630631784332824</v>
      </c>
      <c r="X65" s="688">
        <v>0.42668784079624195</v>
      </c>
      <c r="Y65" s="688">
        <v>0.50090401402262874</v>
      </c>
      <c r="Z65" s="688">
        <v>0.54180633579561344</v>
      </c>
      <c r="AA65" s="688">
        <v>0.56518658422770229</v>
      </c>
      <c r="AB65" s="688">
        <v>0.57978331481235557</v>
      </c>
      <c r="AC65" s="688">
        <v>0.58636331384640528</v>
      </c>
      <c r="AD65" s="688">
        <v>0.58636331384640528</v>
      </c>
      <c r="AE65" s="688">
        <v>0.58636331384640528</v>
      </c>
      <c r="AF65" s="688">
        <v>0.58636331384640528</v>
      </c>
      <c r="AG65" s="689">
        <v>0.58636331384640528</v>
      </c>
      <c r="AH65" s="571"/>
      <c r="AI65" s="96" t="s">
        <v>87</v>
      </c>
    </row>
    <row r="66" spans="1:35" ht="14.25" x14ac:dyDescent="0.2">
      <c r="A66" s="978">
        <v>6</v>
      </c>
      <c r="B66" s="234">
        <v>6</v>
      </c>
      <c r="C66" s="137" t="s">
        <v>90</v>
      </c>
      <c r="D66" s="289"/>
      <c r="E66" s="137" t="s">
        <v>90</v>
      </c>
      <c r="F66" s="289"/>
      <c r="G66" s="137" t="s">
        <v>90</v>
      </c>
      <c r="H66" s="137" t="s">
        <v>90</v>
      </c>
      <c r="I66" s="137" t="s">
        <v>90</v>
      </c>
      <c r="J66" s="137" t="s">
        <v>90</v>
      </c>
      <c r="K66" s="137" t="s">
        <v>90</v>
      </c>
      <c r="L66" s="137" t="s">
        <v>90</v>
      </c>
      <c r="M66" s="137" t="s">
        <v>90</v>
      </c>
      <c r="N66" s="137" t="s">
        <v>90</v>
      </c>
      <c r="O66" s="137" t="s">
        <v>90</v>
      </c>
      <c r="P66" s="137" t="s">
        <v>90</v>
      </c>
      <c r="Q66" s="137" t="s">
        <v>90</v>
      </c>
      <c r="S66" s="96" t="s">
        <v>87</v>
      </c>
      <c r="T66" s="982"/>
      <c r="U66" s="1031">
        <v>6</v>
      </c>
      <c r="V66" s="945">
        <v>6</v>
      </c>
      <c r="W66" s="1034">
        <v>1</v>
      </c>
      <c r="X66" s="688">
        <v>1</v>
      </c>
      <c r="Y66" s="688">
        <v>1</v>
      </c>
      <c r="Z66" s="688">
        <v>1</v>
      </c>
      <c r="AA66" s="688">
        <v>1</v>
      </c>
      <c r="AB66" s="688">
        <v>1</v>
      </c>
      <c r="AC66" s="688">
        <v>1</v>
      </c>
      <c r="AD66" s="688">
        <v>1</v>
      </c>
      <c r="AE66" s="688">
        <v>1</v>
      </c>
      <c r="AF66" s="688">
        <v>1</v>
      </c>
      <c r="AG66" s="689">
        <v>1</v>
      </c>
      <c r="AH66" s="571"/>
      <c r="AI66" s="96" t="s">
        <v>87</v>
      </c>
    </row>
    <row r="67" spans="1:35" ht="14.25" x14ac:dyDescent="0.2">
      <c r="A67" s="978">
        <v>7</v>
      </c>
      <c r="B67" s="234">
        <v>7</v>
      </c>
      <c r="C67" s="137" t="s">
        <v>90</v>
      </c>
      <c r="D67" s="289"/>
      <c r="E67" s="137" t="s">
        <v>90</v>
      </c>
      <c r="F67" s="289"/>
      <c r="G67" s="137" t="s">
        <v>90</v>
      </c>
      <c r="H67" s="137" t="s">
        <v>90</v>
      </c>
      <c r="I67" s="137" t="s">
        <v>90</v>
      </c>
      <c r="J67" s="137" t="s">
        <v>90</v>
      </c>
      <c r="K67" s="137" t="s">
        <v>90</v>
      </c>
      <c r="L67" s="137" t="s">
        <v>90</v>
      </c>
      <c r="M67" s="137" t="s">
        <v>90</v>
      </c>
      <c r="N67" s="137" t="s">
        <v>90</v>
      </c>
      <c r="O67" s="137" t="s">
        <v>90</v>
      </c>
      <c r="P67" s="137" t="s">
        <v>90</v>
      </c>
      <c r="Q67" s="137" t="s">
        <v>90</v>
      </c>
      <c r="S67" s="96" t="s">
        <v>87</v>
      </c>
      <c r="T67" s="982"/>
      <c r="U67" s="1031">
        <v>7</v>
      </c>
      <c r="V67" s="945">
        <v>7</v>
      </c>
      <c r="W67" s="1034">
        <v>1</v>
      </c>
      <c r="X67" s="688">
        <v>1</v>
      </c>
      <c r="Y67" s="688">
        <v>1</v>
      </c>
      <c r="Z67" s="688">
        <v>1</v>
      </c>
      <c r="AA67" s="688">
        <v>1</v>
      </c>
      <c r="AB67" s="688">
        <v>1</v>
      </c>
      <c r="AC67" s="688">
        <v>1</v>
      </c>
      <c r="AD67" s="688">
        <v>1</v>
      </c>
      <c r="AE67" s="688">
        <v>1</v>
      </c>
      <c r="AF67" s="688">
        <v>1</v>
      </c>
      <c r="AG67" s="689">
        <v>1</v>
      </c>
      <c r="AH67" s="571"/>
      <c r="AI67" s="96" t="s">
        <v>87</v>
      </c>
    </row>
    <row r="68" spans="1:35" ht="14.25" x14ac:dyDescent="0.2">
      <c r="A68" s="978" t="s">
        <v>1254</v>
      </c>
      <c r="B68" s="234">
        <v>8</v>
      </c>
      <c r="C68" s="137" t="s">
        <v>90</v>
      </c>
      <c r="D68" s="289"/>
      <c r="E68" s="137" t="s">
        <v>90</v>
      </c>
      <c r="F68" s="289"/>
      <c r="G68" s="137" t="s">
        <v>90</v>
      </c>
      <c r="H68" s="137" t="s">
        <v>90</v>
      </c>
      <c r="I68" s="137" t="s">
        <v>90</v>
      </c>
      <c r="J68" s="137" t="s">
        <v>90</v>
      </c>
      <c r="K68" s="137" t="s">
        <v>90</v>
      </c>
      <c r="L68" s="137" t="s">
        <v>90</v>
      </c>
      <c r="M68" s="137" t="s">
        <v>90</v>
      </c>
      <c r="N68" s="137" t="s">
        <v>90</v>
      </c>
      <c r="O68" s="137" t="s">
        <v>90</v>
      </c>
      <c r="P68" s="137" t="s">
        <v>90</v>
      </c>
      <c r="Q68" s="137" t="s">
        <v>90</v>
      </c>
      <c r="S68" s="96" t="s">
        <v>87</v>
      </c>
      <c r="T68" s="982"/>
      <c r="U68" s="1031" t="s">
        <v>1254</v>
      </c>
      <c r="V68" s="945">
        <v>8</v>
      </c>
      <c r="W68" s="1034">
        <v>1</v>
      </c>
      <c r="X68" s="688">
        <v>1</v>
      </c>
      <c r="Y68" s="688">
        <v>1</v>
      </c>
      <c r="Z68" s="688">
        <v>1</v>
      </c>
      <c r="AA68" s="688">
        <v>1</v>
      </c>
      <c r="AB68" s="688">
        <v>1</v>
      </c>
      <c r="AC68" s="688">
        <v>1</v>
      </c>
      <c r="AD68" s="688">
        <v>1</v>
      </c>
      <c r="AE68" s="688">
        <v>1</v>
      </c>
      <c r="AF68" s="688">
        <v>1</v>
      </c>
      <c r="AG68" s="689">
        <v>1</v>
      </c>
      <c r="AH68" s="571"/>
      <c r="AI68" s="96" t="s">
        <v>87</v>
      </c>
    </row>
    <row r="69" spans="1:35" ht="14.25" x14ac:dyDescent="0.2">
      <c r="A69" s="979" t="s">
        <v>1255</v>
      </c>
      <c r="B69" s="261">
        <v>9</v>
      </c>
      <c r="C69" s="139" t="s">
        <v>90</v>
      </c>
      <c r="D69" s="293"/>
      <c r="E69" s="139" t="s">
        <v>90</v>
      </c>
      <c r="F69" s="293"/>
      <c r="G69" s="139" t="s">
        <v>90</v>
      </c>
      <c r="H69" s="139" t="s">
        <v>90</v>
      </c>
      <c r="I69" s="139" t="s">
        <v>90</v>
      </c>
      <c r="J69" s="139" t="s">
        <v>90</v>
      </c>
      <c r="K69" s="139" t="s">
        <v>90</v>
      </c>
      <c r="L69" s="139" t="s">
        <v>90</v>
      </c>
      <c r="M69" s="139" t="s">
        <v>90</v>
      </c>
      <c r="N69" s="139" t="s">
        <v>90</v>
      </c>
      <c r="O69" s="139" t="s">
        <v>90</v>
      </c>
      <c r="P69" s="139" t="s">
        <v>90</v>
      </c>
      <c r="Q69" s="139" t="s">
        <v>90</v>
      </c>
      <c r="S69" s="96" t="s">
        <v>87</v>
      </c>
      <c r="T69" s="982"/>
      <c r="U69" s="1036" t="s">
        <v>1255</v>
      </c>
      <c r="V69" s="989">
        <v>9</v>
      </c>
      <c r="W69" s="1037">
        <v>1</v>
      </c>
      <c r="X69" s="1038">
        <v>1</v>
      </c>
      <c r="Y69" s="1038">
        <v>1</v>
      </c>
      <c r="Z69" s="1038">
        <v>1</v>
      </c>
      <c r="AA69" s="1038">
        <v>1</v>
      </c>
      <c r="AB69" s="1038">
        <v>1</v>
      </c>
      <c r="AC69" s="1038">
        <v>1</v>
      </c>
      <c r="AD69" s="1038">
        <v>1</v>
      </c>
      <c r="AE69" s="1038">
        <v>1</v>
      </c>
      <c r="AF69" s="1038">
        <v>1</v>
      </c>
      <c r="AG69" s="1039">
        <v>1</v>
      </c>
      <c r="AH69" s="571"/>
      <c r="AI69" s="96" t="s">
        <v>87</v>
      </c>
    </row>
    <row r="70" spans="1:35" ht="14.25" x14ac:dyDescent="0.2">
      <c r="S70" s="96" t="s">
        <v>87</v>
      </c>
      <c r="T70" s="982"/>
      <c r="U70" s="148"/>
      <c r="V70" s="148"/>
      <c r="W70" s="148"/>
      <c r="X70" s="148"/>
      <c r="AH70" s="571"/>
      <c r="AI70" s="96" t="s">
        <v>87</v>
      </c>
    </row>
    <row r="71" spans="1:35" s="1017" customFormat="1" ht="56.25" customHeight="1" x14ac:dyDescent="0.25">
      <c r="A71" s="1024" t="s">
        <v>1262</v>
      </c>
      <c r="B71" s="988"/>
      <c r="C71" s="278" t="s">
        <v>1237</v>
      </c>
      <c r="D71" s="1042"/>
      <c r="E71" s="278" t="s">
        <v>1263</v>
      </c>
      <c r="F71" s="278" t="s">
        <v>1264</v>
      </c>
      <c r="G71" s="278" t="s">
        <v>1240</v>
      </c>
      <c r="H71" s="278" t="s">
        <v>1241</v>
      </c>
      <c r="I71" s="278" t="s">
        <v>1242</v>
      </c>
      <c r="J71" s="278" t="s">
        <v>1243</v>
      </c>
      <c r="K71" s="278" t="s">
        <v>1244</v>
      </c>
      <c r="L71" s="278" t="s">
        <v>1245</v>
      </c>
      <c r="M71" s="278" t="s">
        <v>1246</v>
      </c>
      <c r="N71" s="278" t="s">
        <v>1247</v>
      </c>
      <c r="O71" s="278" t="s">
        <v>1248</v>
      </c>
      <c r="P71" s="278" t="s">
        <v>1249</v>
      </c>
      <c r="Q71" s="278" t="s">
        <v>1250</v>
      </c>
      <c r="R71"/>
      <c r="S71" s="96" t="s">
        <v>87</v>
      </c>
      <c r="T71" s="982"/>
      <c r="U71" s="1025" t="s">
        <v>1256</v>
      </c>
      <c r="V71" s="718"/>
      <c r="W71" s="1026" t="s">
        <v>1251</v>
      </c>
      <c r="X71" s="1026" t="s">
        <v>1241</v>
      </c>
      <c r="Y71" s="1026" t="s">
        <v>1242</v>
      </c>
      <c r="Z71" s="1026" t="s">
        <v>1243</v>
      </c>
      <c r="AA71" s="1026" t="s">
        <v>1244</v>
      </c>
      <c r="AB71" s="1026" t="s">
        <v>1245</v>
      </c>
      <c r="AC71" s="1026" t="s">
        <v>1246</v>
      </c>
      <c r="AD71" s="1026" t="s">
        <v>1247</v>
      </c>
      <c r="AE71" s="1026" t="s">
        <v>1248</v>
      </c>
      <c r="AF71" s="1026" t="s">
        <v>1249</v>
      </c>
      <c r="AG71" s="1027" t="s">
        <v>1250</v>
      </c>
      <c r="AH71" s="1041"/>
      <c r="AI71" s="96" t="s">
        <v>87</v>
      </c>
    </row>
    <row r="72" spans="1:35" s="1017" customFormat="1" ht="15" x14ac:dyDescent="0.25">
      <c r="A72" s="662"/>
      <c r="B72" s="104">
        <v>114</v>
      </c>
      <c r="C72" s="105">
        <v>1</v>
      </c>
      <c r="D72" s="105"/>
      <c r="E72" s="105">
        <v>3</v>
      </c>
      <c r="F72" s="105">
        <v>4</v>
      </c>
      <c r="G72" s="105">
        <v>5</v>
      </c>
      <c r="H72" s="105">
        <v>6</v>
      </c>
      <c r="I72" s="105">
        <v>7</v>
      </c>
      <c r="J72" s="105">
        <v>8</v>
      </c>
      <c r="K72" s="105">
        <v>9</v>
      </c>
      <c r="L72" s="105">
        <v>10</v>
      </c>
      <c r="M72" s="105">
        <v>11</v>
      </c>
      <c r="N72" s="105">
        <v>12</v>
      </c>
      <c r="O72" s="105">
        <v>13</v>
      </c>
      <c r="P72" s="105">
        <v>14</v>
      </c>
      <c r="Q72" s="106">
        <v>15</v>
      </c>
      <c r="R72"/>
      <c r="S72" s="96" t="s">
        <v>87</v>
      </c>
      <c r="T72" s="982"/>
      <c r="U72" s="1044"/>
      <c r="V72" s="675" t="s">
        <v>1257</v>
      </c>
      <c r="W72" s="105">
        <v>5</v>
      </c>
      <c r="X72" s="105">
        <v>6</v>
      </c>
      <c r="Y72" s="105">
        <v>7</v>
      </c>
      <c r="Z72" s="105">
        <v>8</v>
      </c>
      <c r="AA72" s="105">
        <v>9</v>
      </c>
      <c r="AB72" s="105">
        <v>10</v>
      </c>
      <c r="AC72" s="105">
        <v>11</v>
      </c>
      <c r="AD72" s="105">
        <v>12</v>
      </c>
      <c r="AE72" s="105">
        <v>13</v>
      </c>
      <c r="AF72" s="105">
        <v>14</v>
      </c>
      <c r="AG72" s="106">
        <v>15</v>
      </c>
      <c r="AH72" s="1041"/>
      <c r="AI72" s="96" t="s">
        <v>87</v>
      </c>
    </row>
    <row r="73" spans="1:35" ht="14.25" x14ac:dyDescent="0.2">
      <c r="A73" s="212">
        <v>1</v>
      </c>
      <c r="B73" s="234">
        <v>1</v>
      </c>
      <c r="C73" s="149" t="s">
        <v>90</v>
      </c>
      <c r="D73" s="848"/>
      <c r="E73" s="149" t="s">
        <v>90</v>
      </c>
      <c r="F73" s="149" t="s">
        <v>90</v>
      </c>
      <c r="G73" s="149" t="s">
        <v>90</v>
      </c>
      <c r="H73" s="149" t="s">
        <v>90</v>
      </c>
      <c r="I73" s="149" t="s">
        <v>90</v>
      </c>
      <c r="J73" s="149" t="s">
        <v>90</v>
      </c>
      <c r="K73" s="149" t="s">
        <v>90</v>
      </c>
      <c r="L73" s="149" t="s">
        <v>90</v>
      </c>
      <c r="M73" s="149" t="s">
        <v>90</v>
      </c>
      <c r="N73" s="149" t="s">
        <v>90</v>
      </c>
      <c r="O73" s="149" t="s">
        <v>90</v>
      </c>
      <c r="P73" s="149" t="s">
        <v>90</v>
      </c>
      <c r="Q73" s="149" t="s">
        <v>90</v>
      </c>
      <c r="S73" s="96" t="s">
        <v>87</v>
      </c>
      <c r="T73" s="982"/>
      <c r="U73" s="1031" t="s">
        <v>1265</v>
      </c>
      <c r="V73" s="234">
        <v>1</v>
      </c>
      <c r="W73" s="1032">
        <v>2.0087027387081097E-3</v>
      </c>
      <c r="X73" s="683">
        <v>6.8744303656738115E-3</v>
      </c>
      <c r="Y73" s="683">
        <v>8.7680517278494654E-3</v>
      </c>
      <c r="Z73" s="683">
        <v>1.1524571263911976E-2</v>
      </c>
      <c r="AA73" s="683">
        <v>1.391781780752757E-2</v>
      </c>
      <c r="AB73" s="683">
        <v>1.5769403936443615E-2</v>
      </c>
      <c r="AC73" s="683">
        <v>1.7430764719093376E-2</v>
      </c>
      <c r="AD73" s="683">
        <v>1.866109544785512E-2</v>
      </c>
      <c r="AE73" s="683">
        <v>1.9692383741216419E-2</v>
      </c>
      <c r="AF73" s="683">
        <v>2.0813391821370496E-2</v>
      </c>
      <c r="AG73" s="684">
        <v>2.1882053384704878E-2</v>
      </c>
      <c r="AH73" s="571"/>
      <c r="AI73" s="96" t="s">
        <v>87</v>
      </c>
    </row>
    <row r="74" spans="1:35" ht="14.25" x14ac:dyDescent="0.2">
      <c r="A74" s="978">
        <v>2</v>
      </c>
      <c r="B74" s="234">
        <v>2</v>
      </c>
      <c r="C74" s="137" t="s">
        <v>90</v>
      </c>
      <c r="D74" s="289"/>
      <c r="E74" s="137" t="s">
        <v>90</v>
      </c>
      <c r="F74" s="137" t="s">
        <v>90</v>
      </c>
      <c r="G74" s="137" t="s">
        <v>90</v>
      </c>
      <c r="H74" s="137" t="s">
        <v>90</v>
      </c>
      <c r="I74" s="137" t="s">
        <v>90</v>
      </c>
      <c r="J74" s="137" t="s">
        <v>90</v>
      </c>
      <c r="K74" s="137" t="s">
        <v>90</v>
      </c>
      <c r="L74" s="137" t="s">
        <v>90</v>
      </c>
      <c r="M74" s="137" t="s">
        <v>90</v>
      </c>
      <c r="N74" s="137" t="s">
        <v>90</v>
      </c>
      <c r="O74" s="137" t="s">
        <v>90</v>
      </c>
      <c r="P74" s="137" t="s">
        <v>90</v>
      </c>
      <c r="Q74" s="137" t="s">
        <v>90</v>
      </c>
      <c r="S74" s="96" t="s">
        <v>87</v>
      </c>
      <c r="T74" s="982"/>
      <c r="U74" s="1031">
        <v>1</v>
      </c>
      <c r="V74" s="234">
        <v>2</v>
      </c>
      <c r="W74" s="1034">
        <v>2.0087027387081097E-3</v>
      </c>
      <c r="X74" s="688">
        <v>6.8744303656738115E-3</v>
      </c>
      <c r="Y74" s="688">
        <v>8.7680517278494654E-3</v>
      </c>
      <c r="Z74" s="688">
        <v>1.1524571263911976E-2</v>
      </c>
      <c r="AA74" s="688">
        <v>1.391781780752757E-2</v>
      </c>
      <c r="AB74" s="688">
        <v>1.5769403936443615E-2</v>
      </c>
      <c r="AC74" s="688">
        <v>1.7430764719093376E-2</v>
      </c>
      <c r="AD74" s="688">
        <v>1.866109544785512E-2</v>
      </c>
      <c r="AE74" s="688">
        <v>1.9692383741216419E-2</v>
      </c>
      <c r="AF74" s="688">
        <v>2.0813391821370496E-2</v>
      </c>
      <c r="AG74" s="689">
        <v>2.1882053384704878E-2</v>
      </c>
      <c r="AH74" s="571"/>
      <c r="AI74" s="96" t="s">
        <v>87</v>
      </c>
    </row>
    <row r="75" spans="1:35" ht="15.6" customHeight="1" x14ac:dyDescent="0.2">
      <c r="A75" s="978">
        <v>3</v>
      </c>
      <c r="B75" s="234">
        <v>3</v>
      </c>
      <c r="C75" s="137" t="s">
        <v>90</v>
      </c>
      <c r="D75" s="289"/>
      <c r="E75" s="137" t="s">
        <v>90</v>
      </c>
      <c r="F75" s="137" t="s">
        <v>90</v>
      </c>
      <c r="G75" s="137" t="s">
        <v>90</v>
      </c>
      <c r="H75" s="137" t="s">
        <v>90</v>
      </c>
      <c r="I75" s="137" t="s">
        <v>90</v>
      </c>
      <c r="J75" s="137" t="s">
        <v>90</v>
      </c>
      <c r="K75" s="137" t="s">
        <v>90</v>
      </c>
      <c r="L75" s="137" t="s">
        <v>90</v>
      </c>
      <c r="M75" s="137" t="s">
        <v>90</v>
      </c>
      <c r="N75" s="137" t="s">
        <v>90</v>
      </c>
      <c r="O75" s="137" t="s">
        <v>90</v>
      </c>
      <c r="P75" s="137" t="s">
        <v>90</v>
      </c>
      <c r="Q75" s="137" t="s">
        <v>90</v>
      </c>
      <c r="S75" s="96" t="s">
        <v>87</v>
      </c>
      <c r="T75" s="982"/>
      <c r="U75" s="1031">
        <v>3</v>
      </c>
      <c r="V75" s="234">
        <v>3</v>
      </c>
      <c r="W75" s="1034">
        <v>5.891034014937283E-3</v>
      </c>
      <c r="X75" s="688">
        <v>1.3041983247527908E-2</v>
      </c>
      <c r="Y75" s="688">
        <v>1.566359954518784E-2</v>
      </c>
      <c r="Z75" s="688">
        <v>1.8459399704198794E-2</v>
      </c>
      <c r="AA75" s="688">
        <v>2.1081057141620431E-2</v>
      </c>
      <c r="AB75" s="688">
        <v>2.3463123645097228E-2</v>
      </c>
      <c r="AC75" s="688">
        <v>2.6048213398732936E-2</v>
      </c>
      <c r="AD75" s="688">
        <v>2.7984072408239181E-2</v>
      </c>
      <c r="AE75" s="688">
        <v>2.9738328468298676E-2</v>
      </c>
      <c r="AF75" s="688">
        <v>3.1520390059039359E-2</v>
      </c>
      <c r="AG75" s="689">
        <v>3.2978472435880077E-2</v>
      </c>
      <c r="AH75" s="571"/>
      <c r="AI75" s="96" t="s">
        <v>87</v>
      </c>
    </row>
    <row r="76" spans="1:35" ht="14.25" x14ac:dyDescent="0.2">
      <c r="A76" s="978">
        <v>4</v>
      </c>
      <c r="B76" s="234">
        <v>4</v>
      </c>
      <c r="C76" s="137" t="s">
        <v>90</v>
      </c>
      <c r="D76" s="289"/>
      <c r="E76" s="137" t="s">
        <v>90</v>
      </c>
      <c r="F76" s="137" t="s">
        <v>90</v>
      </c>
      <c r="G76" s="137" t="s">
        <v>90</v>
      </c>
      <c r="H76" s="137" t="s">
        <v>90</v>
      </c>
      <c r="I76" s="137" t="s">
        <v>90</v>
      </c>
      <c r="J76" s="137" t="s">
        <v>90</v>
      </c>
      <c r="K76" s="137" t="s">
        <v>90</v>
      </c>
      <c r="L76" s="137" t="s">
        <v>90</v>
      </c>
      <c r="M76" s="137" t="s">
        <v>90</v>
      </c>
      <c r="N76" s="137" t="s">
        <v>90</v>
      </c>
      <c r="O76" s="137" t="s">
        <v>90</v>
      </c>
      <c r="P76" s="137" t="s">
        <v>90</v>
      </c>
      <c r="Q76" s="137" t="s">
        <v>90</v>
      </c>
      <c r="S76" s="96" t="s">
        <v>87</v>
      </c>
      <c r="T76" s="982"/>
      <c r="U76" s="1031">
        <v>4</v>
      </c>
      <c r="V76" s="234">
        <v>4</v>
      </c>
      <c r="W76" s="1034">
        <v>1.4204797871442238E-2</v>
      </c>
      <c r="X76" s="688">
        <v>3.0330701611671784E-2</v>
      </c>
      <c r="Y76" s="688">
        <v>3.6210186482302023E-2</v>
      </c>
      <c r="Z76" s="688">
        <v>4.1341833996759676E-2</v>
      </c>
      <c r="AA76" s="688">
        <v>4.5446764689865068E-2</v>
      </c>
      <c r="AB76" s="688">
        <v>4.8527945659807011E-2</v>
      </c>
      <c r="AC76" s="688">
        <v>5.0789421248397207E-2</v>
      </c>
      <c r="AD76" s="688">
        <v>5.2699249116148185E-2</v>
      </c>
      <c r="AE76" s="688">
        <v>5.4375756862091812E-2</v>
      </c>
      <c r="AF76" s="688">
        <v>5.5848532759100039E-2</v>
      </c>
      <c r="AG76" s="689">
        <v>5.7264904381102516E-2</v>
      </c>
      <c r="AH76" s="571"/>
      <c r="AI76" s="96" t="s">
        <v>87</v>
      </c>
    </row>
    <row r="77" spans="1:35" ht="14.25" x14ac:dyDescent="0.2">
      <c r="A77" s="978">
        <v>5</v>
      </c>
      <c r="B77" s="234">
        <v>5</v>
      </c>
      <c r="C77" s="137" t="s">
        <v>90</v>
      </c>
      <c r="D77" s="289"/>
      <c r="E77" s="137" t="s">
        <v>90</v>
      </c>
      <c r="F77" s="137" t="s">
        <v>90</v>
      </c>
      <c r="G77" s="137" t="s">
        <v>90</v>
      </c>
      <c r="H77" s="137" t="s">
        <v>90</v>
      </c>
      <c r="I77" s="137" t="s">
        <v>90</v>
      </c>
      <c r="J77" s="137" t="s">
        <v>90</v>
      </c>
      <c r="K77" s="137" t="s">
        <v>90</v>
      </c>
      <c r="L77" s="137" t="s">
        <v>90</v>
      </c>
      <c r="M77" s="137" t="s">
        <v>90</v>
      </c>
      <c r="N77" s="137" t="s">
        <v>90</v>
      </c>
      <c r="O77" s="137" t="s">
        <v>90</v>
      </c>
      <c r="P77" s="137" t="s">
        <v>90</v>
      </c>
      <c r="Q77" s="137" t="s">
        <v>90</v>
      </c>
      <c r="S77" s="96" t="s">
        <v>87</v>
      </c>
      <c r="T77" s="982"/>
      <c r="U77" s="1031">
        <v>5</v>
      </c>
      <c r="V77" s="234">
        <v>5</v>
      </c>
      <c r="W77" s="1034">
        <v>3.605105297388804E-2</v>
      </c>
      <c r="X77" s="688">
        <v>7.1114640132706991E-2</v>
      </c>
      <c r="Y77" s="688">
        <v>8.348400233710479E-2</v>
      </c>
      <c r="Z77" s="688">
        <v>9.0301055965935573E-2</v>
      </c>
      <c r="AA77" s="688">
        <v>9.4197764037950382E-2</v>
      </c>
      <c r="AB77" s="688">
        <v>9.6630552468725928E-2</v>
      </c>
      <c r="AC77" s="688">
        <v>9.772721897440087E-2</v>
      </c>
      <c r="AD77" s="688">
        <v>9.772721897440087E-2</v>
      </c>
      <c r="AE77" s="688">
        <v>9.772721897440087E-2</v>
      </c>
      <c r="AF77" s="688">
        <v>9.772721897440087E-2</v>
      </c>
      <c r="AG77" s="689">
        <v>9.772721897440087E-2</v>
      </c>
      <c r="AH77" s="571"/>
      <c r="AI77" s="96" t="s">
        <v>87</v>
      </c>
    </row>
    <row r="78" spans="1:35" ht="14.25" x14ac:dyDescent="0.2">
      <c r="A78" s="978">
        <v>6</v>
      </c>
      <c r="B78" s="234">
        <v>6</v>
      </c>
      <c r="C78" s="137" t="s">
        <v>90</v>
      </c>
      <c r="D78" s="289"/>
      <c r="E78" s="137" t="s">
        <v>90</v>
      </c>
      <c r="F78" s="137" t="s">
        <v>90</v>
      </c>
      <c r="G78" s="137" t="s">
        <v>90</v>
      </c>
      <c r="H78" s="137" t="s">
        <v>90</v>
      </c>
      <c r="I78" s="137" t="s">
        <v>90</v>
      </c>
      <c r="J78" s="137" t="s">
        <v>90</v>
      </c>
      <c r="K78" s="137" t="s">
        <v>90</v>
      </c>
      <c r="L78" s="137" t="s">
        <v>90</v>
      </c>
      <c r="M78" s="137" t="s">
        <v>90</v>
      </c>
      <c r="N78" s="137" t="s">
        <v>90</v>
      </c>
      <c r="O78" s="137" t="s">
        <v>90</v>
      </c>
      <c r="P78" s="137" t="s">
        <v>90</v>
      </c>
      <c r="Q78" s="137" t="s">
        <v>90</v>
      </c>
      <c r="S78" s="96" t="s">
        <v>87</v>
      </c>
      <c r="T78" s="982"/>
      <c r="U78" s="1031">
        <v>6</v>
      </c>
      <c r="V78" s="234">
        <v>6</v>
      </c>
      <c r="W78" s="1034">
        <v>8.8952836462972931E-2</v>
      </c>
      <c r="X78" s="688">
        <v>0.14355203057827526</v>
      </c>
      <c r="Y78" s="688">
        <v>0.1529265487186241</v>
      </c>
      <c r="Z78" s="688">
        <v>0.15561638848998022</v>
      </c>
      <c r="AA78" s="688">
        <v>0.15561638848998022</v>
      </c>
      <c r="AB78" s="688">
        <v>0.15561638848998022</v>
      </c>
      <c r="AC78" s="688">
        <v>0.15561638848998022</v>
      </c>
      <c r="AD78" s="688">
        <v>0.15561638848998022</v>
      </c>
      <c r="AE78" s="688">
        <v>0.15561638848998022</v>
      </c>
      <c r="AF78" s="688">
        <v>0.15561638848998022</v>
      </c>
      <c r="AG78" s="689">
        <v>0.15561638848998022</v>
      </c>
      <c r="AH78" s="571"/>
      <c r="AI78" s="96" t="s">
        <v>87</v>
      </c>
    </row>
    <row r="79" spans="1:35" ht="14.25" x14ac:dyDescent="0.2">
      <c r="A79" s="978">
        <v>7</v>
      </c>
      <c r="B79" s="234">
        <v>7</v>
      </c>
      <c r="C79" s="137" t="s">
        <v>90</v>
      </c>
      <c r="D79" s="289"/>
      <c r="E79" s="137" t="s">
        <v>90</v>
      </c>
      <c r="F79" s="137" t="s">
        <v>90</v>
      </c>
      <c r="G79" s="137" t="s">
        <v>90</v>
      </c>
      <c r="H79" s="137" t="s">
        <v>90</v>
      </c>
      <c r="I79" s="137" t="s">
        <v>90</v>
      </c>
      <c r="J79" s="137" t="s">
        <v>90</v>
      </c>
      <c r="K79" s="137" t="s">
        <v>90</v>
      </c>
      <c r="L79" s="137" t="s">
        <v>90</v>
      </c>
      <c r="M79" s="137" t="s">
        <v>90</v>
      </c>
      <c r="N79" s="137" t="s">
        <v>90</v>
      </c>
      <c r="O79" s="137" t="s">
        <v>90</v>
      </c>
      <c r="P79" s="137" t="s">
        <v>90</v>
      </c>
      <c r="Q79" s="137" t="s">
        <v>90</v>
      </c>
      <c r="S79" s="96" t="s">
        <v>87</v>
      </c>
      <c r="T79" s="982"/>
      <c r="U79" s="1031">
        <v>7</v>
      </c>
      <c r="V79" s="234">
        <v>7</v>
      </c>
      <c r="W79" s="1034">
        <v>0.38</v>
      </c>
      <c r="X79" s="688">
        <v>0.38</v>
      </c>
      <c r="Y79" s="688">
        <v>0.38</v>
      </c>
      <c r="Z79" s="688">
        <v>0.38</v>
      </c>
      <c r="AA79" s="688">
        <v>0.38</v>
      </c>
      <c r="AB79" s="688">
        <v>0.38</v>
      </c>
      <c r="AC79" s="688">
        <v>0.38</v>
      </c>
      <c r="AD79" s="688">
        <v>0.38</v>
      </c>
      <c r="AE79" s="688">
        <v>0.38</v>
      </c>
      <c r="AF79" s="688">
        <v>0.38</v>
      </c>
      <c r="AG79" s="689">
        <v>0.38</v>
      </c>
      <c r="AH79" s="571"/>
      <c r="AI79" s="96" t="s">
        <v>87</v>
      </c>
    </row>
    <row r="80" spans="1:35" ht="14.25" x14ac:dyDescent="0.2">
      <c r="A80" s="978" t="s">
        <v>1254</v>
      </c>
      <c r="B80" s="234">
        <v>8</v>
      </c>
      <c r="C80" s="137" t="s">
        <v>90</v>
      </c>
      <c r="D80" s="289"/>
      <c r="E80" s="137" t="s">
        <v>90</v>
      </c>
      <c r="F80" s="137" t="s">
        <v>90</v>
      </c>
      <c r="G80" s="137" t="s">
        <v>90</v>
      </c>
      <c r="H80" s="137" t="s">
        <v>90</v>
      </c>
      <c r="I80" s="137" t="s">
        <v>90</v>
      </c>
      <c r="J80" s="137" t="s">
        <v>90</v>
      </c>
      <c r="K80" s="137" t="s">
        <v>90</v>
      </c>
      <c r="L80" s="137" t="s">
        <v>90</v>
      </c>
      <c r="M80" s="137" t="s">
        <v>90</v>
      </c>
      <c r="N80" s="137" t="s">
        <v>90</v>
      </c>
      <c r="O80" s="137" t="s">
        <v>90</v>
      </c>
      <c r="P80" s="137" t="s">
        <v>90</v>
      </c>
      <c r="Q80" s="137" t="s">
        <v>90</v>
      </c>
      <c r="S80" s="96" t="s">
        <v>87</v>
      </c>
      <c r="T80" s="982"/>
      <c r="U80" s="1031" t="s">
        <v>1254</v>
      </c>
      <c r="V80" s="234">
        <v>8</v>
      </c>
      <c r="W80" s="1034">
        <v>6.2501944718430485E-2</v>
      </c>
      <c r="X80" s="688">
        <v>0.10733333535549112</v>
      </c>
      <c r="Y80" s="688">
        <v>0.11820527552786445</v>
      </c>
      <c r="Z80" s="688">
        <v>0.1229587222279579</v>
      </c>
      <c r="AA80" s="688">
        <v>0.1249070762639653</v>
      </c>
      <c r="AB80" s="688">
        <v>0.12612347047935307</v>
      </c>
      <c r="AC80" s="688">
        <v>0.12667180373219056</v>
      </c>
      <c r="AD80" s="688">
        <v>0.12667180373219056</v>
      </c>
      <c r="AE80" s="688">
        <v>0.12667180373219056</v>
      </c>
      <c r="AF80" s="688">
        <v>0.12667180373219056</v>
      </c>
      <c r="AG80" s="689">
        <v>0.12667180373219056</v>
      </c>
      <c r="AH80" s="571"/>
      <c r="AI80" s="96" t="s">
        <v>87</v>
      </c>
    </row>
    <row r="81" spans="1:35" ht="14.25" x14ac:dyDescent="0.2">
      <c r="A81" s="979" t="s">
        <v>1255</v>
      </c>
      <c r="B81" s="261">
        <v>9</v>
      </c>
      <c r="C81" s="139" t="s">
        <v>90</v>
      </c>
      <c r="D81" s="293"/>
      <c r="E81" s="139" t="s">
        <v>90</v>
      </c>
      <c r="F81" s="139" t="s">
        <v>90</v>
      </c>
      <c r="G81" s="139" t="s">
        <v>90</v>
      </c>
      <c r="H81" s="139" t="s">
        <v>90</v>
      </c>
      <c r="I81" s="139" t="s">
        <v>90</v>
      </c>
      <c r="J81" s="139" t="s">
        <v>90</v>
      </c>
      <c r="K81" s="139" t="s">
        <v>90</v>
      </c>
      <c r="L81" s="139" t="s">
        <v>90</v>
      </c>
      <c r="M81" s="139" t="s">
        <v>90</v>
      </c>
      <c r="N81" s="139" t="s">
        <v>90</v>
      </c>
      <c r="O81" s="139" t="s">
        <v>90</v>
      </c>
      <c r="P81" s="139" t="s">
        <v>90</v>
      </c>
      <c r="Q81" s="139" t="s">
        <v>90</v>
      </c>
      <c r="S81" s="96" t="s">
        <v>87</v>
      </c>
      <c r="T81" s="982"/>
      <c r="U81" s="1036" t="s">
        <v>1255</v>
      </c>
      <c r="V81" s="261">
        <v>9</v>
      </c>
      <c r="W81" s="1037">
        <v>0.38</v>
      </c>
      <c r="X81" s="1038">
        <v>0.38</v>
      </c>
      <c r="Y81" s="1038">
        <v>0.38</v>
      </c>
      <c r="Z81" s="1038">
        <v>0.38</v>
      </c>
      <c r="AA81" s="1038">
        <v>0.38</v>
      </c>
      <c r="AB81" s="1038">
        <v>0.38</v>
      </c>
      <c r="AC81" s="1038">
        <v>0.38</v>
      </c>
      <c r="AD81" s="1038">
        <v>0.38</v>
      </c>
      <c r="AE81" s="1038">
        <v>0.38</v>
      </c>
      <c r="AF81" s="1038">
        <v>0.38</v>
      </c>
      <c r="AG81" s="1039">
        <v>0.38</v>
      </c>
      <c r="AH81" s="571"/>
      <c r="AI81" s="96" t="s">
        <v>87</v>
      </c>
    </row>
    <row r="82" spans="1:35" ht="28.5" customHeight="1" x14ac:dyDescent="0.25">
      <c r="A82" s="1512" t="s">
        <v>1266</v>
      </c>
      <c r="B82" s="1513"/>
      <c r="C82" s="1514"/>
      <c r="D82" s="1045"/>
      <c r="E82" s="1046"/>
      <c r="F82" s="144" t="s">
        <v>90</v>
      </c>
      <c r="G82" s="1047"/>
      <c r="H82" s="1047"/>
      <c r="I82" s="1048"/>
      <c r="J82" s="1048"/>
      <c r="K82" s="1048"/>
      <c r="L82" s="1048"/>
      <c r="M82" s="1048"/>
      <c r="N82" s="1048"/>
      <c r="O82" s="1048"/>
      <c r="P82" s="1047"/>
      <c r="Q82" s="1047"/>
      <c r="S82" s="96" t="s">
        <v>87</v>
      </c>
      <c r="T82" s="982"/>
      <c r="X82" s="571"/>
      <c r="Y82" s="571"/>
      <c r="Z82" s="571"/>
      <c r="AA82" s="571"/>
      <c r="AB82" s="571"/>
      <c r="AC82" s="571"/>
      <c r="AD82" s="571"/>
      <c r="AE82" s="571"/>
      <c r="AF82" s="571"/>
      <c r="AG82" s="571"/>
      <c r="AH82" s="571"/>
      <c r="AI82" s="96" t="s">
        <v>87</v>
      </c>
    </row>
    <row r="83" spans="1:35" ht="14.25" x14ac:dyDescent="0.2">
      <c r="G83" s="571"/>
      <c r="H83" s="571"/>
      <c r="I83" s="571"/>
      <c r="J83" s="571"/>
      <c r="K83" s="571"/>
      <c r="L83" s="571"/>
      <c r="M83" s="571"/>
      <c r="N83" s="571"/>
      <c r="O83" s="571"/>
      <c r="P83" s="571"/>
      <c r="Q83" s="571"/>
      <c r="S83" s="96" t="s">
        <v>87</v>
      </c>
      <c r="T83" s="982"/>
      <c r="X83" s="571"/>
      <c r="Y83" s="571"/>
      <c r="Z83" s="571"/>
      <c r="AA83" s="571"/>
      <c r="AB83" s="571"/>
      <c r="AC83" s="571"/>
      <c r="AD83" s="571"/>
      <c r="AE83" s="571"/>
      <c r="AF83" s="571"/>
      <c r="AG83" s="571"/>
      <c r="AH83" s="571"/>
      <c r="AI83" s="96" t="s">
        <v>87</v>
      </c>
    </row>
    <row r="84" spans="1:35" s="1017" customFormat="1" ht="42.6" customHeight="1" x14ac:dyDescent="0.25">
      <c r="A84" s="1024" t="s">
        <v>1267</v>
      </c>
      <c r="B84" s="988"/>
      <c r="C84" s="278" t="s">
        <v>1237</v>
      </c>
      <c r="D84" s="1049"/>
      <c r="E84" s="1050"/>
      <c r="F84" s="278" t="s">
        <v>1268</v>
      </c>
      <c r="G84" s="1051"/>
      <c r="H84" s="1016"/>
      <c r="I84" s="1016"/>
      <c r="J84" s="1016"/>
      <c r="K84" s="1016"/>
      <c r="L84" s="1016"/>
      <c r="M84" s="1016"/>
      <c r="N84" s="1016"/>
      <c r="O84" s="1016"/>
      <c r="P84" s="1016"/>
      <c r="Q84" s="1016"/>
      <c r="R84"/>
      <c r="S84" s="96" t="s">
        <v>87</v>
      </c>
      <c r="T84" s="982"/>
      <c r="U84" s="717"/>
      <c r="V84" s="1052"/>
      <c r="W84" s="1053" t="s">
        <v>1269</v>
      </c>
      <c r="X84" s="1040"/>
      <c r="Y84" s="1041"/>
      <c r="Z84" s="1041"/>
      <c r="AA84" s="1041"/>
      <c r="AB84" s="1041"/>
      <c r="AC84" s="1041"/>
      <c r="AD84" s="1041"/>
      <c r="AE84" s="1041"/>
      <c r="AF84" s="1041"/>
      <c r="AG84" s="1041"/>
      <c r="AH84" s="1041"/>
      <c r="AI84" s="96" t="s">
        <v>87</v>
      </c>
    </row>
    <row r="85" spans="1:35" s="1017" customFormat="1" ht="15" x14ac:dyDescent="0.25">
      <c r="A85" s="662"/>
      <c r="B85" s="104">
        <v>115</v>
      </c>
      <c r="C85" s="105">
        <v>1</v>
      </c>
      <c r="D85" s="105"/>
      <c r="E85" s="105"/>
      <c r="F85" s="106">
        <v>4</v>
      </c>
      <c r="G85" s="1051"/>
      <c r="H85" s="1016"/>
      <c r="I85" s="1016"/>
      <c r="J85" s="1016"/>
      <c r="K85" s="1016"/>
      <c r="L85" s="1016"/>
      <c r="M85" s="1016"/>
      <c r="N85" s="1016"/>
      <c r="O85" s="1016"/>
      <c r="P85" s="1016"/>
      <c r="Q85" s="1016"/>
      <c r="R85"/>
      <c r="S85" s="96" t="s">
        <v>87</v>
      </c>
      <c r="T85" s="982"/>
      <c r="U85" s="1054" t="s">
        <v>1270</v>
      </c>
      <c r="V85" s="4"/>
      <c r="W85" s="747">
        <v>3.5999999999999997E-2</v>
      </c>
      <c r="X85" s="1040"/>
      <c r="Y85" s="1041"/>
      <c r="Z85" s="1041"/>
      <c r="AA85" s="1041"/>
      <c r="AB85" s="1041"/>
      <c r="AC85" s="1041"/>
      <c r="AD85" s="1041"/>
      <c r="AE85" s="1041"/>
      <c r="AF85" s="1041"/>
      <c r="AG85" s="1041"/>
      <c r="AH85" s="1041"/>
      <c r="AI85" s="96" t="s">
        <v>87</v>
      </c>
    </row>
    <row r="86" spans="1:35" ht="15" x14ac:dyDescent="0.25">
      <c r="A86" s="663" t="s">
        <v>1271</v>
      </c>
      <c r="B86" s="234">
        <v>1</v>
      </c>
      <c r="C86" s="149" t="s">
        <v>90</v>
      </c>
      <c r="D86" s="224"/>
      <c r="E86" s="742"/>
      <c r="F86" s="149" t="s">
        <v>90</v>
      </c>
      <c r="G86" s="1007"/>
      <c r="H86" s="1007"/>
      <c r="I86" s="1014"/>
      <c r="J86" s="1014"/>
      <c r="K86" s="1014"/>
      <c r="L86" s="1014"/>
      <c r="M86" s="1014"/>
      <c r="N86" s="1014"/>
      <c r="O86" s="1007"/>
      <c r="P86" s="1007"/>
      <c r="Q86" s="1007"/>
      <c r="S86" s="96" t="s">
        <v>87</v>
      </c>
      <c r="T86" s="982"/>
      <c r="U86" s="1054" t="s">
        <v>1272</v>
      </c>
      <c r="V86" s="4"/>
      <c r="W86" s="752">
        <v>0.08</v>
      </c>
      <c r="X86" s="982"/>
      <c r="Y86" s="571"/>
      <c r="Z86" s="571"/>
      <c r="AA86" s="571"/>
      <c r="AB86" s="571"/>
      <c r="AC86" s="571"/>
      <c r="AD86" s="571"/>
      <c r="AE86" s="571"/>
      <c r="AF86" s="571"/>
      <c r="AG86" s="571"/>
      <c r="AH86" s="571"/>
      <c r="AI86" s="96" t="s">
        <v>87</v>
      </c>
    </row>
    <row r="87" spans="1:35" ht="15" x14ac:dyDescent="0.25">
      <c r="A87" s="118" t="s">
        <v>1255</v>
      </c>
      <c r="B87" s="261">
        <v>2</v>
      </c>
      <c r="C87" s="139" t="s">
        <v>90</v>
      </c>
      <c r="D87" s="262"/>
      <c r="E87" s="151"/>
      <c r="F87" s="139" t="s">
        <v>90</v>
      </c>
      <c r="G87" s="1007"/>
      <c r="H87" s="1007"/>
      <c r="I87" s="1014"/>
      <c r="J87" s="1014"/>
      <c r="K87" s="1014"/>
      <c r="L87" s="1014"/>
      <c r="M87" s="1014"/>
      <c r="N87" s="1014"/>
      <c r="O87" s="1007"/>
      <c r="P87" s="1007"/>
      <c r="Q87" s="1007"/>
      <c r="S87" s="96" t="s">
        <v>87</v>
      </c>
      <c r="T87" s="982"/>
      <c r="U87" s="727" t="s">
        <v>1273</v>
      </c>
      <c r="V87" s="1055"/>
      <c r="W87" s="760">
        <v>0.38</v>
      </c>
      <c r="X87" s="982"/>
      <c r="Y87" s="571"/>
      <c r="Z87" s="571"/>
      <c r="AA87" s="571"/>
      <c r="AB87" s="571"/>
      <c r="AC87" s="571"/>
      <c r="AD87" s="571"/>
      <c r="AE87" s="571"/>
      <c r="AF87" s="571"/>
      <c r="AG87" s="571"/>
      <c r="AH87" s="571"/>
      <c r="AI87" s="96" t="s">
        <v>87</v>
      </c>
    </row>
    <row r="88" spans="1:35" ht="14.25" x14ac:dyDescent="0.2">
      <c r="G88" s="1007"/>
      <c r="H88" s="1007"/>
      <c r="I88" s="1007"/>
      <c r="J88" s="1007"/>
      <c r="K88" s="571"/>
      <c r="L88" s="571"/>
      <c r="M88" s="571"/>
      <c r="N88" s="571"/>
      <c r="O88" s="571"/>
      <c r="P88" s="571"/>
      <c r="Q88" s="571"/>
      <c r="S88" s="96" t="s">
        <v>87</v>
      </c>
      <c r="T88" s="982"/>
      <c r="U88" s="148"/>
      <c r="V88" s="148"/>
      <c r="W88" s="148"/>
      <c r="X88" s="982"/>
      <c r="Y88" s="571"/>
      <c r="Z88" s="571"/>
      <c r="AA88" s="571"/>
      <c r="AB88" s="571"/>
      <c r="AC88" s="571"/>
      <c r="AD88" s="571"/>
      <c r="AE88" s="571"/>
      <c r="AF88" s="571"/>
      <c r="AG88" s="571"/>
      <c r="AH88" s="571"/>
      <c r="AI88" s="96" t="s">
        <v>87</v>
      </c>
    </row>
    <row r="89" spans="1:35" s="1017" customFormat="1" ht="42.6" customHeight="1" x14ac:dyDescent="0.25">
      <c r="A89" s="1024" t="s">
        <v>1274</v>
      </c>
      <c r="B89" s="988"/>
      <c r="C89" s="278" t="s">
        <v>1237</v>
      </c>
      <c r="D89" s="1049"/>
      <c r="E89" s="1050"/>
      <c r="F89" s="278" t="s">
        <v>1268</v>
      </c>
      <c r="G89" s="1051"/>
      <c r="H89" s="1016"/>
      <c r="I89" s="1016"/>
      <c r="J89" s="1016"/>
      <c r="K89" s="1016"/>
      <c r="L89" s="1016"/>
      <c r="M89" s="1016"/>
      <c r="N89" s="1016"/>
      <c r="O89" s="1016"/>
      <c r="P89" s="1016"/>
      <c r="Q89" s="1016"/>
      <c r="R89"/>
      <c r="S89" s="96" t="s">
        <v>87</v>
      </c>
      <c r="T89" s="982"/>
      <c r="U89" s="1040"/>
      <c r="V89" s="1040"/>
      <c r="W89" s="1040"/>
      <c r="X89" s="1040"/>
      <c r="Y89" s="1041"/>
      <c r="Z89" s="1041"/>
      <c r="AA89" s="1041"/>
      <c r="AB89" s="1041"/>
      <c r="AC89" s="1041"/>
      <c r="AD89" s="1041"/>
      <c r="AE89" s="1041"/>
      <c r="AF89" s="1041"/>
      <c r="AG89" s="1041"/>
      <c r="AH89" s="1041"/>
      <c r="AI89" s="96" t="s">
        <v>87</v>
      </c>
    </row>
    <row r="90" spans="1:35" s="1017" customFormat="1" ht="15" x14ac:dyDescent="0.25">
      <c r="A90" s="662"/>
      <c r="B90" s="124">
        <v>116</v>
      </c>
      <c r="C90" s="105">
        <v>1</v>
      </c>
      <c r="D90" s="105"/>
      <c r="E90" s="105"/>
      <c r="F90" s="106">
        <v>4</v>
      </c>
      <c r="G90" s="1051"/>
      <c r="H90" s="1016"/>
      <c r="I90" s="1016"/>
      <c r="J90" s="1016"/>
      <c r="K90" s="1016"/>
      <c r="L90" s="1016"/>
      <c r="M90" s="1016"/>
      <c r="N90" s="1016"/>
      <c r="O90" s="1016"/>
      <c r="P90" s="1016"/>
      <c r="Q90" s="1016"/>
      <c r="R90"/>
      <c r="S90" s="96" t="s">
        <v>87</v>
      </c>
      <c r="T90" s="982"/>
      <c r="U90" s="1040"/>
      <c r="V90" s="1040"/>
      <c r="W90" s="1040"/>
      <c r="X90" s="1040"/>
      <c r="Y90" s="1041"/>
      <c r="Z90" s="1041"/>
      <c r="AA90" s="1041"/>
      <c r="AB90" s="1041"/>
      <c r="AC90" s="1041"/>
      <c r="AD90" s="1041"/>
      <c r="AE90" s="1041"/>
      <c r="AF90" s="1041"/>
      <c r="AG90" s="1041"/>
      <c r="AH90" s="1041"/>
      <c r="AI90" s="96" t="s">
        <v>87</v>
      </c>
    </row>
    <row r="91" spans="1:35" ht="15" x14ac:dyDescent="0.25">
      <c r="A91" s="663" t="s">
        <v>1271</v>
      </c>
      <c r="B91" s="234">
        <v>1</v>
      </c>
      <c r="C91" s="149" t="s">
        <v>90</v>
      </c>
      <c r="D91" s="224"/>
      <c r="E91" s="742"/>
      <c r="F91" s="149" t="s">
        <v>90</v>
      </c>
      <c r="G91" s="1007"/>
      <c r="H91" s="1007"/>
      <c r="I91" s="1014"/>
      <c r="J91" s="1014"/>
      <c r="K91" s="1014"/>
      <c r="L91" s="1014"/>
      <c r="M91" s="1014"/>
      <c r="N91" s="1014"/>
      <c r="O91" s="1007"/>
      <c r="P91" s="1007"/>
      <c r="Q91" s="1007"/>
      <c r="S91" s="96" t="s">
        <v>87</v>
      </c>
      <c r="T91" s="982"/>
      <c r="U91" s="982"/>
      <c r="V91" s="982"/>
      <c r="W91" s="982"/>
      <c r="X91" s="982"/>
      <c r="Y91" s="571"/>
      <c r="Z91" s="571"/>
      <c r="AA91" s="571"/>
      <c r="AB91" s="571"/>
      <c r="AC91" s="571"/>
      <c r="AD91" s="571"/>
      <c r="AE91" s="571"/>
      <c r="AF91" s="571"/>
      <c r="AG91" s="571"/>
      <c r="AH91" s="571"/>
      <c r="AI91" s="96" t="s">
        <v>87</v>
      </c>
    </row>
    <row r="92" spans="1:35" ht="15" x14ac:dyDescent="0.25">
      <c r="A92" s="118" t="s">
        <v>1255</v>
      </c>
      <c r="B92" s="261">
        <v>2</v>
      </c>
      <c r="C92" s="139" t="s">
        <v>90</v>
      </c>
      <c r="D92" s="262"/>
      <c r="E92" s="151"/>
      <c r="F92" s="139" t="s">
        <v>90</v>
      </c>
      <c r="G92" s="1007"/>
      <c r="H92" s="1007"/>
      <c r="I92" s="1014"/>
      <c r="J92" s="1014"/>
      <c r="K92" s="1014"/>
      <c r="L92" s="1014"/>
      <c r="M92" s="1014"/>
      <c r="N92" s="1014"/>
      <c r="O92" s="1007"/>
      <c r="P92" s="1007"/>
      <c r="Q92" s="1007"/>
      <c r="S92" s="96" t="s">
        <v>87</v>
      </c>
      <c r="T92" s="982"/>
      <c r="U92" s="982"/>
      <c r="V92" s="982"/>
      <c r="W92" s="982"/>
      <c r="X92" s="982"/>
      <c r="Y92" s="571"/>
      <c r="Z92" s="571"/>
      <c r="AA92" s="571"/>
      <c r="AB92" s="571"/>
      <c r="AC92" s="571"/>
      <c r="AD92" s="571"/>
      <c r="AE92" s="571"/>
      <c r="AF92" s="571"/>
      <c r="AG92" s="571"/>
      <c r="AH92" s="571"/>
      <c r="AI92" s="96" t="s">
        <v>87</v>
      </c>
    </row>
    <row r="93" spans="1:35" ht="14.25" x14ac:dyDescent="0.2">
      <c r="G93" s="571"/>
      <c r="H93" s="571"/>
      <c r="I93" s="571"/>
      <c r="J93" s="571"/>
      <c r="K93" s="571"/>
      <c r="L93" s="571"/>
      <c r="M93" s="571"/>
      <c r="N93" s="571"/>
      <c r="O93" s="571"/>
      <c r="P93" s="571"/>
      <c r="Q93" s="571"/>
      <c r="S93" s="96" t="s">
        <v>87</v>
      </c>
      <c r="T93" s="982"/>
      <c r="U93" s="982"/>
      <c r="V93" s="982"/>
      <c r="W93" s="982"/>
      <c r="X93" s="982"/>
      <c r="Y93" s="571"/>
      <c r="Z93" s="571"/>
      <c r="AA93" s="571"/>
      <c r="AB93" s="571"/>
      <c r="AC93" s="571"/>
      <c r="AD93" s="571"/>
      <c r="AE93" s="571"/>
      <c r="AF93" s="571"/>
      <c r="AG93" s="571"/>
      <c r="AH93" s="571"/>
      <c r="AI93" s="96" t="s">
        <v>87</v>
      </c>
    </row>
    <row r="94" spans="1:35" ht="63.75" x14ac:dyDescent="0.2">
      <c r="A94" s="1024" t="s">
        <v>1275</v>
      </c>
      <c r="B94" s="708"/>
      <c r="C94" s="1056"/>
      <c r="D94" s="988"/>
      <c r="E94" s="654"/>
      <c r="F94" s="278" t="s">
        <v>1264</v>
      </c>
      <c r="G94" s="571"/>
      <c r="H94" s="571"/>
      <c r="I94" s="571"/>
      <c r="J94" s="571"/>
      <c r="K94" s="571"/>
      <c r="L94" s="571"/>
      <c r="M94" s="571"/>
      <c r="N94" s="571"/>
      <c r="O94" s="571"/>
      <c r="P94" s="571"/>
      <c r="Q94" s="571"/>
      <c r="S94" s="96" t="s">
        <v>87</v>
      </c>
      <c r="T94" s="982"/>
      <c r="U94" s="717"/>
      <c r="V94" s="1052"/>
      <c r="W94" s="1053" t="s">
        <v>1276</v>
      </c>
      <c r="AH94" s="571"/>
      <c r="AI94" s="96" t="s">
        <v>87</v>
      </c>
    </row>
    <row r="95" spans="1:35" ht="15" x14ac:dyDescent="0.2">
      <c r="A95" s="1057"/>
      <c r="B95" s="987"/>
      <c r="C95" s="775"/>
      <c r="D95" s="104">
        <v>117</v>
      </c>
      <c r="E95" s="106">
        <v>1</v>
      </c>
      <c r="F95" s="106">
        <v>4</v>
      </c>
      <c r="G95" s="571"/>
      <c r="H95" s="571"/>
      <c r="I95" s="571"/>
      <c r="J95" s="571"/>
      <c r="K95" s="571"/>
      <c r="L95" s="571"/>
      <c r="M95" s="571"/>
      <c r="N95" s="571"/>
      <c r="O95" s="571"/>
      <c r="P95" s="571"/>
      <c r="Q95" s="571"/>
      <c r="S95" s="96" t="s">
        <v>87</v>
      </c>
      <c r="T95" s="982"/>
      <c r="U95" s="1054"/>
      <c r="V95" s="4"/>
      <c r="W95" s="1053"/>
      <c r="AH95" s="571"/>
      <c r="AI95" s="96"/>
    </row>
    <row r="96" spans="1:35" ht="14.25" x14ac:dyDescent="0.2">
      <c r="A96" s="1515" t="s">
        <v>1277</v>
      </c>
      <c r="B96" s="1516"/>
      <c r="C96" s="1517"/>
      <c r="D96" s="169">
        <v>1</v>
      </c>
      <c r="E96" s="149" t="s">
        <v>90</v>
      </c>
      <c r="F96" s="848"/>
      <c r="G96" s="571"/>
      <c r="H96" s="571"/>
      <c r="I96" s="571"/>
      <c r="J96" s="571"/>
      <c r="K96" s="571"/>
      <c r="L96" s="571"/>
      <c r="M96" s="571"/>
      <c r="N96" s="571"/>
      <c r="O96" s="571"/>
      <c r="P96" s="571"/>
      <c r="Q96" s="571"/>
      <c r="S96" s="96" t="s">
        <v>87</v>
      </c>
      <c r="T96" s="982"/>
      <c r="U96" s="1054" t="s">
        <v>1277</v>
      </c>
      <c r="V96" s="4" t="s">
        <v>1039</v>
      </c>
      <c r="W96" s="747">
        <v>0</v>
      </c>
      <c r="AH96" s="571"/>
      <c r="AI96" s="96" t="s">
        <v>87</v>
      </c>
    </row>
    <row r="97" spans="1:35" ht="14.25" x14ac:dyDescent="0.2">
      <c r="A97" s="1518" t="s">
        <v>1278</v>
      </c>
      <c r="B97" s="1519"/>
      <c r="C97" s="1520"/>
      <c r="D97" s="169">
        <v>2</v>
      </c>
      <c r="E97" s="137" t="s">
        <v>90</v>
      </c>
      <c r="F97" s="137" t="s">
        <v>90</v>
      </c>
      <c r="G97" s="571"/>
      <c r="H97" s="571"/>
      <c r="I97" s="571"/>
      <c r="J97" s="571"/>
      <c r="K97" s="571"/>
      <c r="L97" s="571"/>
      <c r="M97" s="571"/>
      <c r="N97" s="571"/>
      <c r="O97" s="571"/>
      <c r="P97" s="571"/>
      <c r="Q97" s="571"/>
      <c r="S97" s="96" t="s">
        <v>87</v>
      </c>
      <c r="T97" s="982"/>
      <c r="U97" s="1054" t="s">
        <v>1278</v>
      </c>
      <c r="V97" s="4" t="s">
        <v>1039</v>
      </c>
      <c r="W97" s="752">
        <v>4.0000000000000001E-3</v>
      </c>
      <c r="AH97" s="571"/>
      <c r="AI97" s="96" t="s">
        <v>87</v>
      </c>
    </row>
    <row r="98" spans="1:35" ht="14.25" x14ac:dyDescent="0.2">
      <c r="A98" s="1518" t="s">
        <v>1279</v>
      </c>
      <c r="B98" s="1519"/>
      <c r="C98" s="1520"/>
      <c r="D98" s="169">
        <v>3</v>
      </c>
      <c r="E98" s="137" t="s">
        <v>90</v>
      </c>
      <c r="F98" s="289"/>
      <c r="G98" s="571"/>
      <c r="H98" s="571"/>
      <c r="I98" s="571"/>
      <c r="J98" s="571"/>
      <c r="K98" s="571"/>
      <c r="L98" s="571"/>
      <c r="M98" s="571"/>
      <c r="N98" s="571"/>
      <c r="O98" s="571"/>
      <c r="P98" s="571"/>
      <c r="Q98" s="571"/>
      <c r="S98" s="96" t="s">
        <v>87</v>
      </c>
      <c r="T98" s="982"/>
      <c r="U98" s="1054" t="s">
        <v>1279</v>
      </c>
      <c r="V98" s="4" t="s">
        <v>1039</v>
      </c>
      <c r="W98" s="752">
        <v>0.08</v>
      </c>
      <c r="AH98" s="571"/>
      <c r="AI98" s="96" t="s">
        <v>87</v>
      </c>
    </row>
    <row r="99" spans="1:35" ht="14.25" x14ac:dyDescent="0.2">
      <c r="A99" s="1518" t="s">
        <v>1280</v>
      </c>
      <c r="B99" s="1519"/>
      <c r="C99" s="1520"/>
      <c r="D99" s="169">
        <v>4</v>
      </c>
      <c r="E99" s="137" t="s">
        <v>90</v>
      </c>
      <c r="F99" s="289"/>
      <c r="G99" s="571"/>
      <c r="H99" s="571"/>
      <c r="I99" s="571"/>
      <c r="J99" s="571"/>
      <c r="K99" s="571"/>
      <c r="L99" s="571"/>
      <c r="M99" s="571"/>
      <c r="N99" s="571"/>
      <c r="O99" s="571"/>
      <c r="P99" s="571"/>
      <c r="Q99" s="571"/>
      <c r="S99" s="96" t="s">
        <v>87</v>
      </c>
      <c r="T99" s="982"/>
      <c r="U99" s="1054" t="s">
        <v>1280</v>
      </c>
      <c r="V99" s="4" t="s">
        <v>1039</v>
      </c>
      <c r="W99" s="752">
        <v>0.08</v>
      </c>
      <c r="AH99" s="571"/>
      <c r="AI99" s="96" t="s">
        <v>87</v>
      </c>
    </row>
    <row r="100" spans="1:35" ht="14.25" x14ac:dyDescent="0.2">
      <c r="A100" s="1518" t="s">
        <v>1281</v>
      </c>
      <c r="B100" s="1519"/>
      <c r="C100" s="1520"/>
      <c r="D100" s="169">
        <v>5</v>
      </c>
      <c r="E100" s="137" t="s">
        <v>90</v>
      </c>
      <c r="F100" s="289"/>
      <c r="G100" s="571"/>
      <c r="H100" s="571"/>
      <c r="I100" s="571"/>
      <c r="J100" s="571"/>
      <c r="K100" s="571"/>
      <c r="L100" s="571"/>
      <c r="M100" s="571"/>
      <c r="N100" s="571"/>
      <c r="O100" s="571"/>
      <c r="P100" s="571"/>
      <c r="Q100" s="571"/>
      <c r="S100" s="96" t="s">
        <v>87</v>
      </c>
      <c r="T100" s="982"/>
      <c r="U100" s="1054" t="s">
        <v>1281</v>
      </c>
      <c r="V100" s="4" t="s">
        <v>1039</v>
      </c>
      <c r="W100" s="752">
        <v>0.08</v>
      </c>
      <c r="AH100" s="571"/>
      <c r="AI100" s="96" t="s">
        <v>87</v>
      </c>
    </row>
    <row r="101" spans="1:35" ht="14.25" x14ac:dyDescent="0.2">
      <c r="A101" s="1509" t="s">
        <v>1282</v>
      </c>
      <c r="B101" s="1510"/>
      <c r="C101" s="1511"/>
      <c r="D101" s="162">
        <v>6</v>
      </c>
      <c r="E101" s="139" t="s">
        <v>90</v>
      </c>
      <c r="F101" s="293"/>
      <c r="G101" s="571"/>
      <c r="H101" s="571"/>
      <c r="I101" s="571"/>
      <c r="J101" s="571"/>
      <c r="K101" s="571"/>
      <c r="L101" s="571"/>
      <c r="M101" s="571"/>
      <c r="N101" s="571"/>
      <c r="O101" s="571"/>
      <c r="P101" s="571"/>
      <c r="Q101" s="571"/>
      <c r="S101" s="96" t="s">
        <v>87</v>
      </c>
      <c r="T101" s="982"/>
      <c r="U101" s="727" t="s">
        <v>1282</v>
      </c>
      <c r="V101" s="1055" t="s">
        <v>1039</v>
      </c>
      <c r="W101" s="760">
        <v>0.08</v>
      </c>
      <c r="X101" s="148"/>
      <c r="AH101" s="571"/>
      <c r="AI101" s="96" t="s">
        <v>87</v>
      </c>
    </row>
    <row r="102" spans="1:35" ht="14.25" x14ac:dyDescent="0.2">
      <c r="G102" s="571"/>
      <c r="H102" s="571"/>
      <c r="I102" s="571"/>
      <c r="J102" s="571"/>
      <c r="K102" s="571"/>
      <c r="L102" s="571"/>
      <c r="M102" s="571"/>
      <c r="N102" s="571"/>
      <c r="O102" s="571"/>
      <c r="P102" s="571"/>
      <c r="Q102" s="571"/>
      <c r="S102" s="96" t="s">
        <v>87</v>
      </c>
      <c r="T102" s="982"/>
      <c r="U102" s="148"/>
      <c r="V102" s="148"/>
      <c r="W102" s="148"/>
      <c r="X102" s="148"/>
      <c r="AH102" s="571"/>
      <c r="AI102" s="96" t="s">
        <v>87</v>
      </c>
    </row>
    <row r="103" spans="1:35" ht="15" x14ac:dyDescent="0.2">
      <c r="A103" s="1058" t="s">
        <v>1283</v>
      </c>
      <c r="B103" s="1059"/>
      <c r="C103" s="1058"/>
      <c r="D103" s="988"/>
      <c r="E103" s="654"/>
      <c r="G103" s="571"/>
      <c r="H103" s="571"/>
      <c r="I103" s="571"/>
      <c r="J103" s="571"/>
      <c r="K103" s="571"/>
      <c r="L103" s="571"/>
      <c r="M103" s="571"/>
      <c r="N103" s="571"/>
      <c r="O103" s="571"/>
      <c r="P103" s="571"/>
      <c r="Q103" s="571"/>
      <c r="S103" s="96" t="s">
        <v>87</v>
      </c>
      <c r="T103" s="982"/>
      <c r="U103" s="4" t="s">
        <v>350</v>
      </c>
      <c r="V103" s="148"/>
      <c r="W103" s="4">
        <v>0.08</v>
      </c>
      <c r="X103" s="148"/>
      <c r="AH103" s="571"/>
      <c r="AI103" s="96" t="s">
        <v>87</v>
      </c>
    </row>
    <row r="104" spans="1:35" ht="15" x14ac:dyDescent="0.2">
      <c r="A104" s="1060"/>
      <c r="B104" s="1061"/>
      <c r="C104" s="1062"/>
      <c r="D104" s="104">
        <v>118</v>
      </c>
      <c r="E104" s="106">
        <v>1</v>
      </c>
      <c r="G104" s="571"/>
      <c r="H104" s="571"/>
      <c r="I104" s="571"/>
      <c r="J104" s="571"/>
      <c r="K104" s="571"/>
      <c r="L104" s="571"/>
      <c r="M104" s="571"/>
      <c r="N104" s="571"/>
      <c r="O104" s="571"/>
      <c r="P104" s="571"/>
      <c r="Q104" s="571"/>
      <c r="S104" s="96" t="s">
        <v>87</v>
      </c>
      <c r="T104" s="982"/>
      <c r="U104" s="148"/>
      <c r="V104" s="148"/>
      <c r="W104" s="148"/>
      <c r="X104" s="148"/>
      <c r="AH104" s="571"/>
      <c r="AI104" s="96"/>
    </row>
    <row r="105" spans="1:35" ht="14.25" x14ac:dyDescent="0.2">
      <c r="A105" s="1063" t="s">
        <v>1284</v>
      </c>
      <c r="B105" s="1064"/>
      <c r="C105" s="1064"/>
      <c r="D105" s="169">
        <v>1</v>
      </c>
      <c r="E105" s="1030" t="s">
        <v>90</v>
      </c>
      <c r="G105" s="571"/>
      <c r="H105" s="571"/>
      <c r="I105" s="571"/>
      <c r="J105" s="571"/>
      <c r="K105" s="571"/>
      <c r="L105" s="571"/>
      <c r="M105" s="571"/>
      <c r="N105" s="571"/>
      <c r="O105" s="571"/>
      <c r="P105" s="571"/>
      <c r="Q105" s="571"/>
      <c r="S105" s="96" t="s">
        <v>87</v>
      </c>
      <c r="T105" s="982"/>
      <c r="U105" s="148"/>
      <c r="V105" s="148"/>
      <c r="W105" s="148"/>
      <c r="X105" s="148"/>
      <c r="AH105" s="571"/>
      <c r="AI105" s="96" t="s">
        <v>87</v>
      </c>
    </row>
    <row r="106" spans="1:35" ht="14.25" x14ac:dyDescent="0.2">
      <c r="A106" s="1065" t="s">
        <v>1285</v>
      </c>
      <c r="B106" s="1066"/>
      <c r="C106" s="1066"/>
      <c r="D106" s="169">
        <v>2</v>
      </c>
      <c r="E106" s="1033" t="s">
        <v>90</v>
      </c>
      <c r="G106" s="571"/>
      <c r="H106" s="571"/>
      <c r="I106" s="571"/>
      <c r="J106" s="571"/>
      <c r="K106" s="571"/>
      <c r="L106" s="571"/>
      <c r="M106" s="571"/>
      <c r="N106" s="571"/>
      <c r="O106" s="571"/>
      <c r="P106" s="571"/>
      <c r="Q106" s="571"/>
      <c r="S106" s="96" t="s">
        <v>87</v>
      </c>
      <c r="T106" s="982"/>
      <c r="U106" s="148"/>
      <c r="V106" s="148"/>
      <c r="W106" s="148"/>
      <c r="X106" s="148"/>
      <c r="AH106" s="571"/>
      <c r="AI106" s="96" t="s">
        <v>87</v>
      </c>
    </row>
    <row r="107" spans="1:35" ht="14.25" x14ac:dyDescent="0.2">
      <c r="A107" s="1065" t="s">
        <v>1286</v>
      </c>
      <c r="B107" s="1066"/>
      <c r="C107" s="1066"/>
      <c r="D107" s="169">
        <v>3</v>
      </c>
      <c r="E107" s="1033" t="s">
        <v>90</v>
      </c>
      <c r="G107" s="571"/>
      <c r="H107" s="571"/>
      <c r="I107" s="571"/>
      <c r="J107" s="571"/>
      <c r="K107" s="571"/>
      <c r="L107" s="571"/>
      <c r="M107" s="571"/>
      <c r="N107" s="571"/>
      <c r="O107" s="571"/>
      <c r="P107" s="571"/>
      <c r="Q107" s="571"/>
      <c r="S107" s="96" t="s">
        <v>87</v>
      </c>
      <c r="T107" s="982"/>
      <c r="U107" s="148"/>
      <c r="V107" s="148"/>
      <c r="W107" s="148"/>
      <c r="X107" s="148"/>
      <c r="AH107" s="571"/>
      <c r="AI107" s="96" t="s">
        <v>87</v>
      </c>
    </row>
    <row r="108" spans="1:35" ht="14.25" x14ac:dyDescent="0.2">
      <c r="A108" s="1065"/>
      <c r="B108" s="1066"/>
      <c r="C108" s="1066"/>
      <c r="D108" s="169">
        <v>4</v>
      </c>
      <c r="E108" s="1033" t="s">
        <v>90</v>
      </c>
      <c r="G108" s="571"/>
      <c r="H108" s="571"/>
      <c r="I108" s="571"/>
      <c r="J108" s="571"/>
      <c r="K108" s="571"/>
      <c r="L108" s="571"/>
      <c r="M108" s="571"/>
      <c r="N108" s="571"/>
      <c r="O108" s="571"/>
      <c r="P108" s="571"/>
      <c r="Q108" s="571"/>
      <c r="S108" s="96" t="s">
        <v>87</v>
      </c>
      <c r="T108" s="982"/>
      <c r="U108" s="148"/>
      <c r="V108" s="148"/>
      <c r="W108" s="148"/>
      <c r="X108" s="148"/>
      <c r="AH108" s="571"/>
      <c r="AI108" s="96" t="s">
        <v>87</v>
      </c>
    </row>
    <row r="109" spans="1:35" ht="14.25" x14ac:dyDescent="0.2">
      <c r="A109" s="1065"/>
      <c r="B109" s="1066"/>
      <c r="C109" s="1066"/>
      <c r="D109" s="169">
        <v>5</v>
      </c>
      <c r="E109" s="1033" t="s">
        <v>90</v>
      </c>
      <c r="G109" s="571"/>
      <c r="H109" s="571"/>
      <c r="I109" s="571"/>
      <c r="J109" s="571"/>
      <c r="K109" s="571"/>
      <c r="L109" s="571"/>
      <c r="M109" s="571"/>
      <c r="N109" s="571"/>
      <c r="O109" s="571"/>
      <c r="P109" s="571"/>
      <c r="Q109" s="571"/>
      <c r="S109" s="96" t="s">
        <v>87</v>
      </c>
      <c r="T109" s="982"/>
      <c r="U109" s="148"/>
      <c r="V109" s="148"/>
      <c r="W109" s="148"/>
      <c r="X109" s="148"/>
      <c r="AH109" s="571"/>
      <c r="AI109" s="96" t="s">
        <v>87</v>
      </c>
    </row>
    <row r="110" spans="1:35" ht="14.25" x14ac:dyDescent="0.2">
      <c r="A110" s="1067"/>
      <c r="B110" s="1068"/>
      <c r="C110" s="1068"/>
      <c r="D110" s="162">
        <v>6</v>
      </c>
      <c r="E110" s="1035" t="s">
        <v>90</v>
      </c>
      <c r="G110" s="571"/>
      <c r="H110" s="571"/>
      <c r="I110" s="571"/>
      <c r="J110" s="571"/>
      <c r="K110" s="571"/>
      <c r="L110" s="571"/>
      <c r="M110" s="571"/>
      <c r="N110" s="571"/>
      <c r="O110" s="571"/>
      <c r="P110" s="571"/>
      <c r="Q110" s="571"/>
      <c r="S110" s="96" t="s">
        <v>87</v>
      </c>
      <c r="T110" s="982"/>
      <c r="U110" s="148"/>
      <c r="V110" s="148"/>
      <c r="W110" s="148"/>
      <c r="X110" s="148"/>
      <c r="AH110" s="571"/>
      <c r="AI110" s="96" t="s">
        <v>87</v>
      </c>
    </row>
    <row r="111" spans="1:35" ht="14.25" x14ac:dyDescent="0.2">
      <c r="G111" s="571"/>
      <c r="H111" s="571"/>
      <c r="I111" s="571"/>
      <c r="J111" s="571"/>
      <c r="K111" s="571"/>
      <c r="L111" s="571"/>
      <c r="M111" s="571"/>
      <c r="N111" s="571"/>
      <c r="O111" s="571"/>
      <c r="P111" s="571"/>
      <c r="Q111" s="571"/>
      <c r="S111" s="96" t="s">
        <v>87</v>
      </c>
      <c r="T111" s="982"/>
      <c r="U111" s="148"/>
      <c r="V111" s="148"/>
      <c r="W111" s="148"/>
      <c r="X111" s="148"/>
      <c r="AH111" s="571"/>
      <c r="AI111" s="96" t="s">
        <v>87</v>
      </c>
    </row>
    <row r="112" spans="1:35" ht="14.25" x14ac:dyDescent="0.2">
      <c r="D112" s="124">
        <v>119</v>
      </c>
      <c r="E112" s="106">
        <v>1</v>
      </c>
      <c r="G112" s="571"/>
      <c r="H112" s="571"/>
      <c r="I112" s="571"/>
      <c r="J112" s="571"/>
      <c r="K112" s="571"/>
      <c r="L112" s="571"/>
      <c r="M112" s="571"/>
      <c r="N112" s="571"/>
      <c r="O112" s="571"/>
      <c r="P112" s="571"/>
      <c r="Q112" s="571"/>
      <c r="S112" s="96" t="s">
        <v>87</v>
      </c>
      <c r="T112" s="982"/>
      <c r="U112" s="148"/>
      <c r="V112" s="148"/>
      <c r="W112" s="148"/>
      <c r="X112" s="148"/>
      <c r="AH112" s="571"/>
      <c r="AI112" s="96"/>
    </row>
    <row r="113" spans="1:35" ht="15" x14ac:dyDescent="0.25">
      <c r="A113" s="397" t="s">
        <v>1287</v>
      </c>
      <c r="B113" s="988"/>
      <c r="C113" s="988"/>
      <c r="D113" s="162">
        <v>1</v>
      </c>
      <c r="E113" s="144" t="s">
        <v>90</v>
      </c>
      <c r="G113" s="571"/>
      <c r="H113" s="571"/>
      <c r="I113" s="571"/>
      <c r="J113" s="571"/>
      <c r="K113" s="571"/>
      <c r="L113" s="571"/>
      <c r="M113" s="571"/>
      <c r="N113" s="571"/>
      <c r="O113" s="571"/>
      <c r="P113" s="571"/>
      <c r="Q113" s="571"/>
      <c r="S113" s="96" t="s">
        <v>87</v>
      </c>
      <c r="T113" s="982"/>
      <c r="U113" s="148"/>
      <c r="V113" s="148"/>
      <c r="W113" s="148"/>
      <c r="X113" s="148"/>
      <c r="AH113" s="571"/>
      <c r="AI113" s="96" t="s">
        <v>87</v>
      </c>
    </row>
    <row r="114" spans="1:35" ht="14.25" x14ac:dyDescent="0.2">
      <c r="A114" s="148"/>
      <c r="B114" s="148"/>
      <c r="C114" s="148"/>
      <c r="D114" s="148"/>
      <c r="E114" s="148"/>
      <c r="F114" s="148"/>
      <c r="G114" s="982"/>
      <c r="H114" s="982"/>
      <c r="I114" s="982"/>
      <c r="J114" s="982"/>
      <c r="K114" s="982"/>
      <c r="L114" s="982"/>
      <c r="M114" s="982"/>
      <c r="N114" s="982"/>
      <c r="O114" s="982"/>
      <c r="P114" s="982"/>
      <c r="Q114" s="982"/>
      <c r="R114" s="148"/>
      <c r="S114" s="96" t="s">
        <v>87</v>
      </c>
      <c r="T114" s="982"/>
      <c r="U114" s="148"/>
      <c r="V114" s="148"/>
      <c r="W114" s="148"/>
      <c r="X114" s="148"/>
      <c r="AH114" s="571"/>
      <c r="AI114" s="96" t="s">
        <v>87</v>
      </c>
    </row>
    <row r="115" spans="1:35" ht="14.25" x14ac:dyDescent="0.2">
      <c r="A115" s="96" t="s">
        <v>87</v>
      </c>
      <c r="B115" s="96" t="s">
        <v>87</v>
      </c>
      <c r="C115" s="96" t="s">
        <v>87</v>
      </c>
      <c r="D115" s="96" t="s">
        <v>87</v>
      </c>
      <c r="E115" s="96" t="s">
        <v>87</v>
      </c>
      <c r="F115" s="96" t="s">
        <v>87</v>
      </c>
      <c r="G115" s="96" t="s">
        <v>87</v>
      </c>
      <c r="H115" s="96" t="s">
        <v>87</v>
      </c>
      <c r="I115" s="96" t="s">
        <v>87</v>
      </c>
      <c r="J115" s="96" t="s">
        <v>87</v>
      </c>
      <c r="K115" s="96" t="s">
        <v>87</v>
      </c>
      <c r="L115" s="96" t="s">
        <v>87</v>
      </c>
      <c r="M115" s="96" t="s">
        <v>87</v>
      </c>
      <c r="N115" s="96" t="s">
        <v>87</v>
      </c>
      <c r="O115" s="96" t="s">
        <v>87</v>
      </c>
      <c r="P115" s="96" t="s">
        <v>87</v>
      </c>
      <c r="Q115" s="96" t="s">
        <v>87</v>
      </c>
      <c r="R115" s="96" t="s">
        <v>87</v>
      </c>
      <c r="S115" s="96" t="s">
        <v>87</v>
      </c>
      <c r="T115" s="571"/>
      <c r="AH115" s="571"/>
      <c r="AI115" s="96" t="s">
        <v>87</v>
      </c>
    </row>
  </sheetData>
  <mergeCells count="7">
    <mergeCell ref="A101:C101"/>
    <mergeCell ref="A82:C82"/>
    <mergeCell ref="A96:C96"/>
    <mergeCell ref="A97:C97"/>
    <mergeCell ref="A98:C98"/>
    <mergeCell ref="A99:C99"/>
    <mergeCell ref="A100:C100"/>
  </mergeCells>
  <pageMargins left="0.25" right="0.25" top="0.75" bottom="0.75" header="0.3" footer="0.3"/>
  <pageSetup orientation="landscape"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FFFF00"/>
  </sheetPr>
  <dimension ref="A1:M150"/>
  <sheetViews>
    <sheetView topLeftCell="A4" workbookViewId="0">
      <selection activeCell="A4" sqref="A4"/>
    </sheetView>
  </sheetViews>
  <sheetFormatPr defaultRowHeight="12.75" x14ac:dyDescent="0.2"/>
  <cols>
    <col min="1" max="1" width="41.42578125" customWidth="1"/>
    <col min="2" max="2" width="4.28515625" customWidth="1"/>
    <col min="4" max="4" width="8" customWidth="1"/>
    <col min="5" max="5" width="9.42578125" customWidth="1"/>
    <col min="6" max="11" width="8.7109375" customWidth="1"/>
    <col min="12" max="12" width="1.42578125" customWidth="1"/>
    <col min="13" max="13" width="2" customWidth="1"/>
  </cols>
  <sheetData>
    <row r="1" spans="1:13" ht="14.25" x14ac:dyDescent="0.2">
      <c r="A1" s="93" t="str">
        <f>FT15.Participant!$A$1</f>
        <v>&lt;IAIG's Name&gt;</v>
      </c>
      <c r="B1" s="94"/>
      <c r="C1" s="94"/>
      <c r="D1" s="94"/>
      <c r="E1" s="94"/>
      <c r="F1" s="94"/>
      <c r="G1" s="94"/>
      <c r="H1" s="94"/>
      <c r="I1" s="94"/>
      <c r="J1" s="94"/>
      <c r="K1" s="95" t="str">
        <f ca="1">HYPERLINK("#"&amp;CELL("address",FT15.IndexSheet),Version)</f>
        <v>2015 IAIS Field Testing Template</v>
      </c>
      <c r="M1" s="96" t="s">
        <v>87</v>
      </c>
    </row>
    <row r="2" spans="1:13" ht="15" x14ac:dyDescent="0.25">
      <c r="A2" s="97" t="str">
        <f>FT15.Participant!$A$2</f>
        <v>&lt;Currency&gt; - (&lt;Unit&gt;)</v>
      </c>
      <c r="B2" s="967"/>
      <c r="C2" s="98" t="s">
        <v>57</v>
      </c>
      <c r="D2" s="99"/>
      <c r="E2" s="99"/>
      <c r="F2" s="99"/>
      <c r="G2" s="99"/>
      <c r="H2" s="99"/>
      <c r="I2" s="99"/>
      <c r="J2" s="99"/>
      <c r="K2" s="100" t="str">
        <f>FT15.Participant!$E$2</f>
        <v xml:space="preserve">&lt;Reporting Date&gt; - </v>
      </c>
      <c r="M2" s="96" t="s">
        <v>87</v>
      </c>
    </row>
    <row r="3" spans="1:13" ht="14.25" x14ac:dyDescent="0.2">
      <c r="M3" s="96" t="s">
        <v>87</v>
      </c>
    </row>
    <row r="4" spans="1:13" ht="15" x14ac:dyDescent="0.25">
      <c r="A4" s="937" t="s">
        <v>1288</v>
      </c>
      <c r="B4" s="708"/>
      <c r="C4" s="207"/>
      <c r="M4" s="96" t="s">
        <v>87</v>
      </c>
    </row>
    <row r="5" spans="1:13" ht="14.25" x14ac:dyDescent="0.2">
      <c r="A5" s="118"/>
      <c r="B5" s="104">
        <v>120</v>
      </c>
      <c r="C5" s="214">
        <v>1</v>
      </c>
      <c r="M5" s="96" t="s">
        <v>87</v>
      </c>
    </row>
    <row r="6" spans="1:13" ht="14.25" x14ac:dyDescent="0.2">
      <c r="A6" s="146" t="s">
        <v>1289</v>
      </c>
      <c r="B6" s="234">
        <v>1</v>
      </c>
      <c r="C6" s="172">
        <f>SUM(C7:C9)</f>
        <v>0</v>
      </c>
      <c r="M6" s="96" t="s">
        <v>87</v>
      </c>
    </row>
    <row r="7" spans="1:13" ht="14.25" x14ac:dyDescent="0.2">
      <c r="A7" s="129" t="s">
        <v>1290</v>
      </c>
      <c r="B7" s="169">
        <v>2</v>
      </c>
      <c r="C7" s="285">
        <f>MAX(C15,C96)+C42</f>
        <v>0</v>
      </c>
      <c r="M7" s="96" t="s">
        <v>87</v>
      </c>
    </row>
    <row r="8" spans="1:13" ht="14.25" x14ac:dyDescent="0.2">
      <c r="A8" s="129" t="s">
        <v>1291</v>
      </c>
      <c r="B8" s="169">
        <v>3</v>
      </c>
      <c r="C8" s="285">
        <f>MAX(C18,C99)+C45</f>
        <v>0</v>
      </c>
      <c r="M8" s="96" t="s">
        <v>87</v>
      </c>
    </row>
    <row r="9" spans="1:13" ht="14.25" x14ac:dyDescent="0.2">
      <c r="A9" s="147" t="s">
        <v>1292</v>
      </c>
      <c r="B9" s="162">
        <v>4</v>
      </c>
      <c r="C9" s="153">
        <f>C102</f>
        <v>0</v>
      </c>
      <c r="M9" s="96" t="s">
        <v>87</v>
      </c>
    </row>
    <row r="10" spans="1:13" ht="14.25" x14ac:dyDescent="0.2">
      <c r="M10" s="96" t="s">
        <v>87</v>
      </c>
    </row>
    <row r="11" spans="1:13" ht="28.5" customHeight="1" x14ac:dyDescent="0.2">
      <c r="A11" s="933"/>
      <c r="B11" s="933"/>
      <c r="C11" s="1421" t="s">
        <v>1293</v>
      </c>
      <c r="D11" s="1069" t="s">
        <v>1294</v>
      </c>
      <c r="E11" s="1070"/>
      <c r="F11" s="1070"/>
      <c r="G11" s="1070"/>
      <c r="H11" s="1070"/>
      <c r="I11" s="1070"/>
      <c r="J11" s="1071"/>
      <c r="M11" s="96" t="s">
        <v>87</v>
      </c>
    </row>
    <row r="12" spans="1:13" ht="51" x14ac:dyDescent="0.2">
      <c r="A12" s="719"/>
      <c r="B12" s="719"/>
      <c r="C12" s="1423"/>
      <c r="D12" s="1072"/>
      <c r="E12" s="1073" t="s">
        <v>721</v>
      </c>
      <c r="F12" s="1073" t="s">
        <v>722</v>
      </c>
      <c r="G12" s="1073" t="s">
        <v>723</v>
      </c>
      <c r="H12" s="1073" t="s">
        <v>724</v>
      </c>
      <c r="I12" s="1073" t="s">
        <v>725</v>
      </c>
      <c r="J12" s="1073" t="s">
        <v>726</v>
      </c>
      <c r="M12" s="96" t="s">
        <v>87</v>
      </c>
    </row>
    <row r="13" spans="1:13" ht="14.25" x14ac:dyDescent="0.2">
      <c r="A13" s="719"/>
      <c r="B13" s="124">
        <v>121</v>
      </c>
      <c r="C13" s="167">
        <v>1</v>
      </c>
      <c r="D13" s="167" t="s">
        <v>1295</v>
      </c>
      <c r="E13" s="167">
        <v>3</v>
      </c>
      <c r="F13" s="167">
        <v>4</v>
      </c>
      <c r="G13" s="167">
        <v>5</v>
      </c>
      <c r="H13" s="167">
        <v>6</v>
      </c>
      <c r="I13" s="167">
        <v>7</v>
      </c>
      <c r="J13" s="167">
        <v>8</v>
      </c>
      <c r="K13" s="1074" t="s">
        <v>680</v>
      </c>
      <c r="M13" s="96" t="s">
        <v>87</v>
      </c>
    </row>
    <row r="14" spans="1:13" ht="25.5" x14ac:dyDescent="0.2">
      <c r="A14" s="1075" t="s">
        <v>1296</v>
      </c>
      <c r="B14" s="234">
        <v>1</v>
      </c>
      <c r="C14" s="224"/>
      <c r="D14" s="1076">
        <f t="shared" ref="D14:J14" si="0">SUM(D15,D18)</f>
        <v>0</v>
      </c>
      <c r="E14" s="282">
        <f t="shared" si="0"/>
        <v>0</v>
      </c>
      <c r="F14" s="282">
        <f t="shared" si="0"/>
        <v>0</v>
      </c>
      <c r="G14" s="282">
        <f t="shared" si="0"/>
        <v>0</v>
      </c>
      <c r="H14" s="282">
        <f t="shared" si="0"/>
        <v>0</v>
      </c>
      <c r="I14" s="282">
        <f t="shared" si="0"/>
        <v>0</v>
      </c>
      <c r="J14" s="282">
        <f t="shared" si="0"/>
        <v>0</v>
      </c>
      <c r="M14" s="96" t="s">
        <v>87</v>
      </c>
    </row>
    <row r="15" spans="1:13" ht="14.25" x14ac:dyDescent="0.2">
      <c r="A15" s="1077" t="s">
        <v>697</v>
      </c>
      <c r="B15" s="234">
        <v>2</v>
      </c>
      <c r="C15" s="1078">
        <f>SUM(C16:C17)</f>
        <v>0</v>
      </c>
      <c r="D15" s="1079">
        <f t="shared" ref="D15:D20" si="1">SUM(E15:J15)</f>
        <v>0</v>
      </c>
      <c r="E15" s="1078">
        <f t="shared" ref="E15:J15" si="2">SUM(E16:E17)</f>
        <v>0</v>
      </c>
      <c r="F15" s="1078">
        <f t="shared" si="2"/>
        <v>0</v>
      </c>
      <c r="G15" s="1078">
        <f t="shared" si="2"/>
        <v>0</v>
      </c>
      <c r="H15" s="1078">
        <f t="shared" si="2"/>
        <v>0</v>
      </c>
      <c r="I15" s="1078">
        <f t="shared" si="2"/>
        <v>0</v>
      </c>
      <c r="J15" s="1078">
        <f t="shared" si="2"/>
        <v>0</v>
      </c>
      <c r="M15" s="96" t="s">
        <v>87</v>
      </c>
    </row>
    <row r="16" spans="1:13" ht="14.25" x14ac:dyDescent="0.2">
      <c r="A16" s="1080" t="s">
        <v>1297</v>
      </c>
      <c r="B16" s="234">
        <v>3</v>
      </c>
      <c r="C16" s="239">
        <f>SUM(K16)*SUM(D16)</f>
        <v>0</v>
      </c>
      <c r="D16" s="239">
        <f t="shared" si="1"/>
        <v>0</v>
      </c>
      <c r="E16" s="1081" t="s">
        <v>90</v>
      </c>
      <c r="F16" s="1081" t="s">
        <v>90</v>
      </c>
      <c r="G16" s="1081" t="s">
        <v>90</v>
      </c>
      <c r="H16" s="1081" t="s">
        <v>90</v>
      </c>
      <c r="I16" s="1081" t="s">
        <v>90</v>
      </c>
      <c r="J16" s="1081" t="s">
        <v>90</v>
      </c>
      <c r="K16" s="1082">
        <v>0.03</v>
      </c>
      <c r="M16" s="96" t="s">
        <v>87</v>
      </c>
    </row>
    <row r="17" spans="1:13" ht="14.25" x14ac:dyDescent="0.2">
      <c r="A17" s="1083" t="s">
        <v>1298</v>
      </c>
      <c r="B17" s="234">
        <v>4</v>
      </c>
      <c r="C17" s="244">
        <f>SUM(K17)*SUM(D17)</f>
        <v>0</v>
      </c>
      <c r="D17" s="244">
        <f t="shared" si="1"/>
        <v>0</v>
      </c>
      <c r="E17" s="1084" t="s">
        <v>90</v>
      </c>
      <c r="F17" s="1084" t="s">
        <v>90</v>
      </c>
      <c r="G17" s="1084" t="s">
        <v>90</v>
      </c>
      <c r="H17" s="1084" t="s">
        <v>90</v>
      </c>
      <c r="I17" s="1084" t="s">
        <v>90</v>
      </c>
      <c r="J17" s="1084" t="s">
        <v>90</v>
      </c>
      <c r="K17" s="1085">
        <v>2.5000000000000001E-2</v>
      </c>
      <c r="M17" s="96" t="s">
        <v>87</v>
      </c>
    </row>
    <row r="18" spans="1:13" ht="14.25" x14ac:dyDescent="0.2">
      <c r="A18" s="1077" t="s">
        <v>1291</v>
      </c>
      <c r="B18" s="234">
        <v>5</v>
      </c>
      <c r="C18" s="1078">
        <f>SUM(C19:C20)</f>
        <v>0</v>
      </c>
      <c r="D18" s="1079">
        <f t="shared" si="1"/>
        <v>0</v>
      </c>
      <c r="E18" s="1078">
        <f t="shared" ref="E18:J18" si="3">SUM(E19:E20)</f>
        <v>0</v>
      </c>
      <c r="F18" s="1078">
        <f t="shared" si="3"/>
        <v>0</v>
      </c>
      <c r="G18" s="1078">
        <f t="shared" si="3"/>
        <v>0</v>
      </c>
      <c r="H18" s="1078">
        <f t="shared" si="3"/>
        <v>0</v>
      </c>
      <c r="I18" s="1078">
        <f t="shared" si="3"/>
        <v>0</v>
      </c>
      <c r="J18" s="1078">
        <f t="shared" si="3"/>
        <v>0</v>
      </c>
      <c r="M18" s="96" t="s">
        <v>87</v>
      </c>
    </row>
    <row r="19" spans="1:13" ht="14.25" x14ac:dyDescent="0.2">
      <c r="A19" s="1080" t="s">
        <v>1297</v>
      </c>
      <c r="B19" s="234">
        <v>6</v>
      </c>
      <c r="C19" s="239">
        <f>SUM(K19)*SUM(D19)</f>
        <v>0</v>
      </c>
      <c r="D19" s="239">
        <f t="shared" si="1"/>
        <v>0</v>
      </c>
      <c r="E19" s="1081" t="s">
        <v>90</v>
      </c>
      <c r="F19" s="1081" t="s">
        <v>90</v>
      </c>
      <c r="G19" s="1081" t="s">
        <v>90</v>
      </c>
      <c r="H19" s="1081" t="s">
        <v>90</v>
      </c>
      <c r="I19" s="1081" t="s">
        <v>90</v>
      </c>
      <c r="J19" s="1081" t="s">
        <v>90</v>
      </c>
      <c r="K19" s="1082">
        <v>0.04</v>
      </c>
      <c r="M19" s="96" t="s">
        <v>87</v>
      </c>
    </row>
    <row r="20" spans="1:13" ht="14.25" x14ac:dyDescent="0.2">
      <c r="A20" s="1083" t="s">
        <v>1298</v>
      </c>
      <c r="B20" s="261">
        <v>7</v>
      </c>
      <c r="C20" s="244">
        <f>SUM(K20)*SUM(D20)</f>
        <v>0</v>
      </c>
      <c r="D20" s="244">
        <f t="shared" si="1"/>
        <v>0</v>
      </c>
      <c r="E20" s="1084" t="s">
        <v>90</v>
      </c>
      <c r="F20" s="1084" t="s">
        <v>90</v>
      </c>
      <c r="G20" s="1084" t="s">
        <v>90</v>
      </c>
      <c r="H20" s="1084" t="s">
        <v>90</v>
      </c>
      <c r="I20" s="1084" t="s">
        <v>90</v>
      </c>
      <c r="J20" s="1084" t="s">
        <v>90</v>
      </c>
      <c r="K20" s="1085">
        <v>3.5000000000000003E-2</v>
      </c>
      <c r="M20" s="96" t="s">
        <v>87</v>
      </c>
    </row>
    <row r="21" spans="1:13" ht="7.5" customHeight="1" x14ac:dyDescent="0.2">
      <c r="B21" s="719"/>
      <c r="D21" s="719"/>
      <c r="E21" s="719"/>
      <c r="F21" s="719"/>
      <c r="G21" s="719"/>
      <c r="H21" s="719"/>
      <c r="I21" s="719"/>
      <c r="J21" s="719"/>
      <c r="K21" s="719"/>
      <c r="M21" s="96" t="s">
        <v>87</v>
      </c>
    </row>
    <row r="22" spans="1:13" ht="14.25" x14ac:dyDescent="0.2">
      <c r="A22" s="719"/>
      <c r="B22" s="124">
        <v>122</v>
      </c>
      <c r="C22" s="167"/>
      <c r="D22" s="167" t="s">
        <v>1295</v>
      </c>
      <c r="E22" s="167">
        <v>3</v>
      </c>
      <c r="F22" s="167">
        <v>4</v>
      </c>
      <c r="G22" s="167">
        <v>5</v>
      </c>
      <c r="H22" s="167">
        <v>6</v>
      </c>
      <c r="I22" s="167">
        <v>7</v>
      </c>
      <c r="J22" s="214">
        <v>8</v>
      </c>
      <c r="M22" s="96" t="s">
        <v>87</v>
      </c>
    </row>
    <row r="23" spans="1:13" ht="25.5" x14ac:dyDescent="0.2">
      <c r="A23" s="1075" t="s">
        <v>1299</v>
      </c>
      <c r="B23" s="234">
        <v>1</v>
      </c>
      <c r="C23" s="224"/>
      <c r="D23" s="1076">
        <f t="shared" ref="D23:J23" si="4">SUM(D24,D27)</f>
        <v>0</v>
      </c>
      <c r="E23" s="282">
        <f t="shared" si="4"/>
        <v>0</v>
      </c>
      <c r="F23" s="282">
        <f t="shared" si="4"/>
        <v>0</v>
      </c>
      <c r="G23" s="282">
        <f t="shared" si="4"/>
        <v>0</v>
      </c>
      <c r="H23" s="282">
        <f t="shared" si="4"/>
        <v>0</v>
      </c>
      <c r="I23" s="282">
        <f t="shared" si="4"/>
        <v>0</v>
      </c>
      <c r="J23" s="282">
        <f t="shared" si="4"/>
        <v>0</v>
      </c>
      <c r="M23" s="96" t="s">
        <v>87</v>
      </c>
    </row>
    <row r="24" spans="1:13" ht="14.25" x14ac:dyDescent="0.2">
      <c r="A24" s="1077" t="s">
        <v>697</v>
      </c>
      <c r="B24" s="234">
        <v>2</v>
      </c>
      <c r="C24" s="145"/>
      <c r="D24" s="1079">
        <f t="shared" ref="D24:D29" si="5">SUM(E24:J24)</f>
        <v>0</v>
      </c>
      <c r="E24" s="1078">
        <f t="shared" ref="E24:J24" si="6">SUM(E25:E26)</f>
        <v>0</v>
      </c>
      <c r="F24" s="1078">
        <f t="shared" si="6"/>
        <v>0</v>
      </c>
      <c r="G24" s="1078">
        <f t="shared" si="6"/>
        <v>0</v>
      </c>
      <c r="H24" s="1078">
        <f t="shared" si="6"/>
        <v>0</v>
      </c>
      <c r="I24" s="1078">
        <f t="shared" si="6"/>
        <v>0</v>
      </c>
      <c r="J24" s="1078">
        <f t="shared" si="6"/>
        <v>0</v>
      </c>
      <c r="M24" s="96" t="s">
        <v>87</v>
      </c>
    </row>
    <row r="25" spans="1:13" ht="14.25" x14ac:dyDescent="0.2">
      <c r="A25" s="1080" t="s">
        <v>1297</v>
      </c>
      <c r="B25" s="234">
        <v>3</v>
      </c>
      <c r="C25" s="145"/>
      <c r="D25" s="239">
        <f t="shared" si="5"/>
        <v>0</v>
      </c>
      <c r="E25" s="1081" t="s">
        <v>90</v>
      </c>
      <c r="F25" s="1081" t="s">
        <v>90</v>
      </c>
      <c r="G25" s="1081" t="s">
        <v>90</v>
      </c>
      <c r="H25" s="1081" t="s">
        <v>90</v>
      </c>
      <c r="I25" s="1081" t="s">
        <v>90</v>
      </c>
      <c r="J25" s="1081" t="s">
        <v>90</v>
      </c>
      <c r="M25" s="96" t="s">
        <v>87</v>
      </c>
    </row>
    <row r="26" spans="1:13" ht="14.25" x14ac:dyDescent="0.2">
      <c r="A26" s="1083" t="s">
        <v>1298</v>
      </c>
      <c r="B26" s="234">
        <v>4</v>
      </c>
      <c r="C26" s="145"/>
      <c r="D26" s="244">
        <f t="shared" si="5"/>
        <v>0</v>
      </c>
      <c r="E26" s="1084" t="s">
        <v>90</v>
      </c>
      <c r="F26" s="1084" t="s">
        <v>90</v>
      </c>
      <c r="G26" s="1084" t="s">
        <v>90</v>
      </c>
      <c r="H26" s="1084" t="s">
        <v>90</v>
      </c>
      <c r="I26" s="1084" t="s">
        <v>90</v>
      </c>
      <c r="J26" s="1084" t="s">
        <v>90</v>
      </c>
      <c r="M26" s="96" t="s">
        <v>87</v>
      </c>
    </row>
    <row r="27" spans="1:13" ht="14.25" x14ac:dyDescent="0.2">
      <c r="A27" s="1077" t="s">
        <v>1291</v>
      </c>
      <c r="B27" s="234">
        <v>5</v>
      </c>
      <c r="C27" s="145"/>
      <c r="D27" s="1079">
        <f t="shared" si="5"/>
        <v>0</v>
      </c>
      <c r="E27" s="1078">
        <f t="shared" ref="E27:J27" si="7">SUM(E28:E29)</f>
        <v>0</v>
      </c>
      <c r="F27" s="1078">
        <f t="shared" si="7"/>
        <v>0</v>
      </c>
      <c r="G27" s="1078">
        <f t="shared" si="7"/>
        <v>0</v>
      </c>
      <c r="H27" s="1078">
        <f t="shared" si="7"/>
        <v>0</v>
      </c>
      <c r="I27" s="1078">
        <f t="shared" si="7"/>
        <v>0</v>
      </c>
      <c r="J27" s="1078">
        <f t="shared" si="7"/>
        <v>0</v>
      </c>
      <c r="M27" s="96" t="s">
        <v>87</v>
      </c>
    </row>
    <row r="28" spans="1:13" ht="14.25" x14ac:dyDescent="0.2">
      <c r="A28" s="1080" t="s">
        <v>1297</v>
      </c>
      <c r="B28" s="234">
        <v>6</v>
      </c>
      <c r="C28" s="145"/>
      <c r="D28" s="239">
        <f t="shared" si="5"/>
        <v>0</v>
      </c>
      <c r="E28" s="1081" t="s">
        <v>90</v>
      </c>
      <c r="F28" s="1081" t="s">
        <v>90</v>
      </c>
      <c r="G28" s="1081" t="s">
        <v>90</v>
      </c>
      <c r="H28" s="1081" t="s">
        <v>90</v>
      </c>
      <c r="I28" s="1081" t="s">
        <v>90</v>
      </c>
      <c r="J28" s="1081" t="s">
        <v>90</v>
      </c>
      <c r="M28" s="96" t="s">
        <v>87</v>
      </c>
    </row>
    <row r="29" spans="1:13" ht="14.25" x14ac:dyDescent="0.2">
      <c r="A29" s="1083" t="s">
        <v>1298</v>
      </c>
      <c r="B29" s="261">
        <v>7</v>
      </c>
      <c r="C29" s="262"/>
      <c r="D29" s="244">
        <f t="shared" si="5"/>
        <v>0</v>
      </c>
      <c r="E29" s="1084" t="s">
        <v>90</v>
      </c>
      <c r="F29" s="1084" t="s">
        <v>90</v>
      </c>
      <c r="G29" s="1084" t="s">
        <v>90</v>
      </c>
      <c r="H29" s="1084" t="s">
        <v>90</v>
      </c>
      <c r="I29" s="1084" t="s">
        <v>90</v>
      </c>
      <c r="J29" s="1084" t="s">
        <v>90</v>
      </c>
      <c r="M29" s="96" t="s">
        <v>87</v>
      </c>
    </row>
    <row r="30" spans="1:13" ht="9" customHeight="1" x14ac:dyDescent="0.2">
      <c r="B30" s="719"/>
      <c r="D30" s="719"/>
      <c r="E30" s="719"/>
      <c r="F30" s="719"/>
      <c r="G30" s="719"/>
      <c r="H30" s="719"/>
      <c r="I30" s="719"/>
      <c r="J30" s="719"/>
      <c r="M30" s="96" t="s">
        <v>87</v>
      </c>
    </row>
    <row r="31" spans="1:13" ht="14.25" x14ac:dyDescent="0.2">
      <c r="B31" s="124">
        <v>123</v>
      </c>
      <c r="C31" s="167"/>
      <c r="D31" s="167" t="s">
        <v>1295</v>
      </c>
      <c r="E31" s="167">
        <v>3</v>
      </c>
      <c r="F31" s="167">
        <v>4</v>
      </c>
      <c r="G31" s="167">
        <v>5</v>
      </c>
      <c r="H31" s="167">
        <v>6</v>
      </c>
      <c r="I31" s="167">
        <v>7</v>
      </c>
      <c r="J31" s="214">
        <v>8</v>
      </c>
      <c r="M31" s="96" t="s">
        <v>87</v>
      </c>
    </row>
    <row r="32" spans="1:13" ht="25.5" x14ac:dyDescent="0.2">
      <c r="A32" s="1075" t="s">
        <v>1300</v>
      </c>
      <c r="B32" s="234">
        <v>1</v>
      </c>
      <c r="C32" s="224"/>
      <c r="D32" s="152">
        <f t="shared" ref="D32:J32" si="8">SUM(D33,D36)</f>
        <v>0</v>
      </c>
      <c r="E32" s="285">
        <f t="shared" si="8"/>
        <v>0</v>
      </c>
      <c r="F32" s="285">
        <f t="shared" si="8"/>
        <v>0</v>
      </c>
      <c r="G32" s="285">
        <f t="shared" si="8"/>
        <v>0</v>
      </c>
      <c r="H32" s="285">
        <f t="shared" si="8"/>
        <v>0</v>
      </c>
      <c r="I32" s="285">
        <f t="shared" si="8"/>
        <v>0</v>
      </c>
      <c r="J32" s="285">
        <f t="shared" si="8"/>
        <v>0</v>
      </c>
      <c r="M32" s="96" t="s">
        <v>87</v>
      </c>
    </row>
    <row r="33" spans="1:13" ht="14.25" x14ac:dyDescent="0.2">
      <c r="A33" s="1077" t="s">
        <v>697</v>
      </c>
      <c r="B33" s="234">
        <v>2</v>
      </c>
      <c r="C33" s="145"/>
      <c r="D33" s="1079">
        <f t="shared" ref="D33:D38" si="9">SUM(E33:J33)</f>
        <v>0</v>
      </c>
      <c r="E33" s="1078">
        <f t="shared" ref="E33:J33" si="10">SUM(E34:E35)</f>
        <v>0</v>
      </c>
      <c r="F33" s="1078">
        <f t="shared" si="10"/>
        <v>0</v>
      </c>
      <c r="G33" s="1078">
        <f t="shared" si="10"/>
        <v>0</v>
      </c>
      <c r="H33" s="1078">
        <f t="shared" si="10"/>
        <v>0</v>
      </c>
      <c r="I33" s="1078">
        <f t="shared" si="10"/>
        <v>0</v>
      </c>
      <c r="J33" s="1078">
        <f t="shared" si="10"/>
        <v>0</v>
      </c>
      <c r="M33" s="96" t="s">
        <v>87</v>
      </c>
    </row>
    <row r="34" spans="1:13" ht="14.25" x14ac:dyDescent="0.2">
      <c r="A34" s="1080" t="s">
        <v>1297</v>
      </c>
      <c r="B34" s="234">
        <v>3</v>
      </c>
      <c r="C34" s="145"/>
      <c r="D34" s="239">
        <f t="shared" si="9"/>
        <v>0</v>
      </c>
      <c r="E34" s="1081" t="s">
        <v>90</v>
      </c>
      <c r="F34" s="1081" t="s">
        <v>90</v>
      </c>
      <c r="G34" s="1081" t="s">
        <v>90</v>
      </c>
      <c r="H34" s="1081" t="s">
        <v>90</v>
      </c>
      <c r="I34" s="1081" t="s">
        <v>90</v>
      </c>
      <c r="J34" s="1081" t="s">
        <v>90</v>
      </c>
      <c r="M34" s="96" t="s">
        <v>87</v>
      </c>
    </row>
    <row r="35" spans="1:13" ht="14.25" x14ac:dyDescent="0.2">
      <c r="A35" s="1083" t="s">
        <v>1298</v>
      </c>
      <c r="B35" s="234">
        <v>4</v>
      </c>
      <c r="C35" s="145"/>
      <c r="D35" s="244">
        <f t="shared" si="9"/>
        <v>0</v>
      </c>
      <c r="E35" s="1084" t="s">
        <v>90</v>
      </c>
      <c r="F35" s="1084" t="s">
        <v>90</v>
      </c>
      <c r="G35" s="1084" t="s">
        <v>90</v>
      </c>
      <c r="H35" s="1084" t="s">
        <v>90</v>
      </c>
      <c r="I35" s="1084" t="s">
        <v>90</v>
      </c>
      <c r="J35" s="1084" t="s">
        <v>90</v>
      </c>
      <c r="M35" s="96" t="s">
        <v>87</v>
      </c>
    </row>
    <row r="36" spans="1:13" ht="14.25" x14ac:dyDescent="0.2">
      <c r="A36" s="1077" t="s">
        <v>1291</v>
      </c>
      <c r="B36" s="234">
        <v>5</v>
      </c>
      <c r="C36" s="145"/>
      <c r="D36" s="1079">
        <f t="shared" si="9"/>
        <v>0</v>
      </c>
      <c r="E36" s="1078">
        <f t="shared" ref="E36:J36" si="11">SUM(E37:E38)</f>
        <v>0</v>
      </c>
      <c r="F36" s="1078">
        <f t="shared" si="11"/>
        <v>0</v>
      </c>
      <c r="G36" s="1078">
        <f t="shared" si="11"/>
        <v>0</v>
      </c>
      <c r="H36" s="1078">
        <f t="shared" si="11"/>
        <v>0</v>
      </c>
      <c r="I36" s="1078">
        <f t="shared" si="11"/>
        <v>0</v>
      </c>
      <c r="J36" s="1078">
        <f t="shared" si="11"/>
        <v>0</v>
      </c>
      <c r="M36" s="96" t="s">
        <v>87</v>
      </c>
    </row>
    <row r="37" spans="1:13" ht="14.25" x14ac:dyDescent="0.2">
      <c r="A37" s="1080" t="s">
        <v>1297</v>
      </c>
      <c r="B37" s="234">
        <v>6</v>
      </c>
      <c r="C37" s="145"/>
      <c r="D37" s="239">
        <f t="shared" si="9"/>
        <v>0</v>
      </c>
      <c r="E37" s="1081" t="s">
        <v>90</v>
      </c>
      <c r="F37" s="1081" t="s">
        <v>90</v>
      </c>
      <c r="G37" s="1081" t="s">
        <v>90</v>
      </c>
      <c r="H37" s="1081" t="s">
        <v>90</v>
      </c>
      <c r="I37" s="1081" t="s">
        <v>90</v>
      </c>
      <c r="J37" s="1081" t="s">
        <v>90</v>
      </c>
      <c r="M37" s="96" t="s">
        <v>87</v>
      </c>
    </row>
    <row r="38" spans="1:13" ht="14.25" x14ac:dyDescent="0.2">
      <c r="A38" s="1083" t="s">
        <v>1298</v>
      </c>
      <c r="B38" s="261">
        <v>7</v>
      </c>
      <c r="C38" s="262"/>
      <c r="D38" s="244">
        <f t="shared" si="9"/>
        <v>0</v>
      </c>
      <c r="E38" s="1084" t="s">
        <v>90</v>
      </c>
      <c r="F38" s="1084" t="s">
        <v>90</v>
      </c>
      <c r="G38" s="1084" t="s">
        <v>90</v>
      </c>
      <c r="H38" s="1084" t="s">
        <v>90</v>
      </c>
      <c r="I38" s="1084" t="s">
        <v>90</v>
      </c>
      <c r="J38" s="1084" t="s">
        <v>90</v>
      </c>
      <c r="M38" s="96" t="s">
        <v>87</v>
      </c>
    </row>
    <row r="39" spans="1:13" ht="7.5" customHeight="1" x14ac:dyDescent="0.2">
      <c r="B39" s="719"/>
      <c r="D39" s="719"/>
      <c r="E39" s="719"/>
      <c r="F39" s="719"/>
      <c r="G39" s="719"/>
      <c r="H39" s="719"/>
      <c r="I39" s="719"/>
      <c r="J39" s="719"/>
      <c r="K39" s="719"/>
      <c r="M39" s="96" t="s">
        <v>87</v>
      </c>
    </row>
    <row r="40" spans="1:13" ht="14.25" x14ac:dyDescent="0.2">
      <c r="B40" s="124">
        <v>124</v>
      </c>
      <c r="C40" s="167">
        <v>1</v>
      </c>
      <c r="D40" s="167" t="s">
        <v>1295</v>
      </c>
      <c r="E40" s="167">
        <v>3</v>
      </c>
      <c r="F40" s="167">
        <v>4</v>
      </c>
      <c r="G40" s="167">
        <v>5</v>
      </c>
      <c r="H40" s="167">
        <v>6</v>
      </c>
      <c r="I40" s="167">
        <v>7</v>
      </c>
      <c r="J40" s="214">
        <v>8</v>
      </c>
      <c r="K40" s="1086" t="s">
        <v>1301</v>
      </c>
      <c r="M40" s="96" t="s">
        <v>87</v>
      </c>
    </row>
    <row r="41" spans="1:13" ht="25.5" x14ac:dyDescent="0.2">
      <c r="A41" s="1075" t="s">
        <v>1302</v>
      </c>
      <c r="B41" s="234">
        <v>1</v>
      </c>
      <c r="C41" s="224"/>
      <c r="D41" s="152">
        <f t="shared" ref="D41:J41" si="12">SUM(D42,D45)</f>
        <v>0</v>
      </c>
      <c r="E41" s="285">
        <f t="shared" si="12"/>
        <v>0</v>
      </c>
      <c r="F41" s="285">
        <f t="shared" si="12"/>
        <v>0</v>
      </c>
      <c r="G41" s="285">
        <f t="shared" si="12"/>
        <v>0</v>
      </c>
      <c r="H41" s="285">
        <f t="shared" si="12"/>
        <v>0</v>
      </c>
      <c r="I41" s="285">
        <f t="shared" si="12"/>
        <v>0</v>
      </c>
      <c r="J41" s="285">
        <f t="shared" si="12"/>
        <v>0</v>
      </c>
      <c r="K41" s="1087">
        <v>0.2</v>
      </c>
      <c r="M41" s="96" t="s">
        <v>87</v>
      </c>
    </row>
    <row r="42" spans="1:13" ht="14.25" x14ac:dyDescent="0.2">
      <c r="A42" s="1077" t="s">
        <v>697</v>
      </c>
      <c r="B42" s="234">
        <v>2</v>
      </c>
      <c r="C42" s="1078">
        <f>SUM(C43:C44)</f>
        <v>0</v>
      </c>
      <c r="D42" s="1079">
        <f t="shared" ref="D42:D47" si="13">SUM(E42:J42)</f>
        <v>0</v>
      </c>
      <c r="E42" s="1078">
        <f t="shared" ref="E42:J42" si="14">SUM(E43:E44)</f>
        <v>0</v>
      </c>
      <c r="F42" s="1078">
        <f t="shared" si="14"/>
        <v>0</v>
      </c>
      <c r="G42" s="1078">
        <f t="shared" si="14"/>
        <v>0</v>
      </c>
      <c r="H42" s="1078">
        <f t="shared" si="14"/>
        <v>0</v>
      </c>
      <c r="I42" s="1078">
        <f t="shared" si="14"/>
        <v>0</v>
      </c>
      <c r="J42" s="1078">
        <f t="shared" si="14"/>
        <v>0</v>
      </c>
      <c r="M42" s="96" t="s">
        <v>87</v>
      </c>
    </row>
    <row r="43" spans="1:13" ht="14.25" x14ac:dyDescent="0.2">
      <c r="A43" s="1080" t="s">
        <v>1297</v>
      </c>
      <c r="B43" s="234">
        <v>3</v>
      </c>
      <c r="C43" s="239">
        <f>SUM(K43)*SUM(D43)</f>
        <v>0</v>
      </c>
      <c r="D43" s="239">
        <f t="shared" si="13"/>
        <v>0</v>
      </c>
      <c r="E43" s="240">
        <f t="shared" ref="E43:J44" si="15">MAX(0,SUM(E16)-SUM(E25)*(1+SUM($K$41)))</f>
        <v>0</v>
      </c>
      <c r="F43" s="240">
        <f t="shared" si="15"/>
        <v>0</v>
      </c>
      <c r="G43" s="240">
        <f t="shared" si="15"/>
        <v>0</v>
      </c>
      <c r="H43" s="240">
        <f t="shared" si="15"/>
        <v>0</v>
      </c>
      <c r="I43" s="240">
        <f t="shared" si="15"/>
        <v>0</v>
      </c>
      <c r="J43" s="240">
        <f t="shared" si="15"/>
        <v>0</v>
      </c>
      <c r="K43" s="1082">
        <v>0.03</v>
      </c>
      <c r="M43" s="96" t="s">
        <v>87</v>
      </c>
    </row>
    <row r="44" spans="1:13" ht="14.25" x14ac:dyDescent="0.2">
      <c r="A44" s="1083" t="s">
        <v>1298</v>
      </c>
      <c r="B44" s="234">
        <v>4</v>
      </c>
      <c r="C44" s="244">
        <f>SUM(K44)*SUM(D44)</f>
        <v>0</v>
      </c>
      <c r="D44" s="244">
        <f t="shared" si="13"/>
        <v>0</v>
      </c>
      <c r="E44" s="245">
        <f t="shared" si="15"/>
        <v>0</v>
      </c>
      <c r="F44" s="245">
        <f t="shared" si="15"/>
        <v>0</v>
      </c>
      <c r="G44" s="245">
        <f t="shared" si="15"/>
        <v>0</v>
      </c>
      <c r="H44" s="245">
        <f t="shared" si="15"/>
        <v>0</v>
      </c>
      <c r="I44" s="245">
        <f t="shared" si="15"/>
        <v>0</v>
      </c>
      <c r="J44" s="245">
        <f t="shared" si="15"/>
        <v>0</v>
      </c>
      <c r="K44" s="1085">
        <v>2.5000000000000001E-2</v>
      </c>
      <c r="M44" s="96" t="s">
        <v>87</v>
      </c>
    </row>
    <row r="45" spans="1:13" ht="14.25" x14ac:dyDescent="0.2">
      <c r="A45" s="1077" t="s">
        <v>1291</v>
      </c>
      <c r="B45" s="234">
        <v>5</v>
      </c>
      <c r="C45" s="1078">
        <f>SUM(C46:C47)</f>
        <v>0</v>
      </c>
      <c r="D45" s="1079">
        <f t="shared" si="13"/>
        <v>0</v>
      </c>
      <c r="E45" s="1078">
        <f t="shared" ref="E45:J45" si="16">SUM(E46:E47)</f>
        <v>0</v>
      </c>
      <c r="F45" s="1078">
        <f t="shared" si="16"/>
        <v>0</v>
      </c>
      <c r="G45" s="1078">
        <f t="shared" si="16"/>
        <v>0</v>
      </c>
      <c r="H45" s="1078">
        <f t="shared" si="16"/>
        <v>0</v>
      </c>
      <c r="I45" s="1078">
        <f t="shared" si="16"/>
        <v>0</v>
      </c>
      <c r="J45" s="1078">
        <f t="shared" si="16"/>
        <v>0</v>
      </c>
      <c r="K45" s="719"/>
      <c r="M45" s="96" t="s">
        <v>87</v>
      </c>
    </row>
    <row r="46" spans="1:13" ht="14.25" x14ac:dyDescent="0.2">
      <c r="A46" s="1080" t="s">
        <v>1297</v>
      </c>
      <c r="B46" s="234">
        <v>6</v>
      </c>
      <c r="C46" s="239">
        <f>SUM(K46)*SUM(D46)</f>
        <v>0</v>
      </c>
      <c r="D46" s="239">
        <f t="shared" si="13"/>
        <v>0</v>
      </c>
      <c r="E46" s="240">
        <f t="shared" ref="E46:J47" si="17">MAX(0,SUM(E19)-SUM(E28)*(1+SUM($K$41)))</f>
        <v>0</v>
      </c>
      <c r="F46" s="240">
        <f t="shared" si="17"/>
        <v>0</v>
      </c>
      <c r="G46" s="240">
        <f t="shared" si="17"/>
        <v>0</v>
      </c>
      <c r="H46" s="240">
        <f t="shared" si="17"/>
        <v>0</v>
      </c>
      <c r="I46" s="240">
        <f t="shared" si="17"/>
        <v>0</v>
      </c>
      <c r="J46" s="240">
        <f t="shared" si="17"/>
        <v>0</v>
      </c>
      <c r="K46" s="1082">
        <v>0.04</v>
      </c>
      <c r="M46" s="96" t="s">
        <v>87</v>
      </c>
    </row>
    <row r="47" spans="1:13" ht="14.25" x14ac:dyDescent="0.2">
      <c r="A47" s="1083" t="s">
        <v>1298</v>
      </c>
      <c r="B47" s="261">
        <v>7</v>
      </c>
      <c r="C47" s="244">
        <f>SUM(K47)*SUM(D47)</f>
        <v>0</v>
      </c>
      <c r="D47" s="244">
        <f t="shared" si="13"/>
        <v>0</v>
      </c>
      <c r="E47" s="245">
        <f t="shared" si="17"/>
        <v>0</v>
      </c>
      <c r="F47" s="245">
        <f t="shared" si="17"/>
        <v>0</v>
      </c>
      <c r="G47" s="245">
        <f t="shared" si="17"/>
        <v>0</v>
      </c>
      <c r="H47" s="245">
        <f t="shared" si="17"/>
        <v>0</v>
      </c>
      <c r="I47" s="245">
        <f t="shared" si="17"/>
        <v>0</v>
      </c>
      <c r="J47" s="245">
        <f t="shared" si="17"/>
        <v>0</v>
      </c>
      <c r="K47" s="1085">
        <v>3.5000000000000003E-2</v>
      </c>
      <c r="M47" s="96" t="s">
        <v>87</v>
      </c>
    </row>
    <row r="48" spans="1:13" ht="7.5" customHeight="1" x14ac:dyDescent="0.2">
      <c r="B48" s="719"/>
      <c r="D48" s="719"/>
      <c r="E48" s="719"/>
      <c r="F48" s="719"/>
      <c r="G48" s="719"/>
      <c r="H48" s="719"/>
      <c r="I48" s="719"/>
      <c r="J48" s="719"/>
      <c r="K48" s="719"/>
      <c r="M48" s="96" t="s">
        <v>87</v>
      </c>
    </row>
    <row r="49" spans="1:13" ht="14.25" x14ac:dyDescent="0.2">
      <c r="B49" s="104">
        <v>125</v>
      </c>
      <c r="C49" s="167"/>
      <c r="D49" s="167" t="s">
        <v>1295</v>
      </c>
      <c r="E49" s="167">
        <v>3</v>
      </c>
      <c r="F49" s="167">
        <v>4</v>
      </c>
      <c r="G49" s="167">
        <v>5</v>
      </c>
      <c r="H49" s="167">
        <v>6</v>
      </c>
      <c r="I49" s="167">
        <v>7</v>
      </c>
      <c r="J49" s="214">
        <v>8</v>
      </c>
      <c r="K49" s="719"/>
      <c r="M49" s="96" t="s">
        <v>87</v>
      </c>
    </row>
    <row r="50" spans="1:13" ht="25.5" x14ac:dyDescent="0.2">
      <c r="A50" s="1075" t="s">
        <v>1303</v>
      </c>
      <c r="B50" s="1088">
        <v>1</v>
      </c>
      <c r="C50" s="224"/>
      <c r="D50" s="1076">
        <f t="shared" ref="D50:J50" si="18">SUM(D51,D54)</f>
        <v>0</v>
      </c>
      <c r="E50" s="282">
        <f t="shared" si="18"/>
        <v>0</v>
      </c>
      <c r="F50" s="282">
        <f t="shared" si="18"/>
        <v>0</v>
      </c>
      <c r="G50" s="282">
        <f t="shared" si="18"/>
        <v>0</v>
      </c>
      <c r="H50" s="282">
        <f t="shared" si="18"/>
        <v>0</v>
      </c>
      <c r="I50" s="282">
        <f t="shared" si="18"/>
        <v>0</v>
      </c>
      <c r="J50" s="282">
        <f t="shared" si="18"/>
        <v>0</v>
      </c>
      <c r="K50" s="719"/>
      <c r="M50" s="96" t="s">
        <v>87</v>
      </c>
    </row>
    <row r="51" spans="1:13" ht="14.25" x14ac:dyDescent="0.2">
      <c r="A51" s="1077" t="s">
        <v>697</v>
      </c>
      <c r="B51" s="745">
        <v>2</v>
      </c>
      <c r="C51" s="145"/>
      <c r="D51" s="1079">
        <f t="shared" ref="D51:D56" si="19">SUM(E51:J51)</f>
        <v>0</v>
      </c>
      <c r="E51" s="1078">
        <f t="shared" ref="E51:J51" si="20">SUM(E52:E53)</f>
        <v>0</v>
      </c>
      <c r="F51" s="1078">
        <f t="shared" si="20"/>
        <v>0</v>
      </c>
      <c r="G51" s="1078">
        <f t="shared" si="20"/>
        <v>0</v>
      </c>
      <c r="H51" s="1078">
        <f t="shared" si="20"/>
        <v>0</v>
      </c>
      <c r="I51" s="1078">
        <f t="shared" si="20"/>
        <v>0</v>
      </c>
      <c r="J51" s="1078">
        <f t="shared" si="20"/>
        <v>0</v>
      </c>
      <c r="K51" s="719"/>
      <c r="M51" s="96" t="s">
        <v>87</v>
      </c>
    </row>
    <row r="52" spans="1:13" ht="14.25" x14ac:dyDescent="0.2">
      <c r="A52" s="1080" t="s">
        <v>1297</v>
      </c>
      <c r="B52" s="745">
        <v>3</v>
      </c>
      <c r="C52" s="145"/>
      <c r="D52" s="239">
        <f t="shared" si="19"/>
        <v>0</v>
      </c>
      <c r="E52" s="1081" t="s">
        <v>90</v>
      </c>
      <c r="F52" s="1081" t="s">
        <v>90</v>
      </c>
      <c r="G52" s="1081" t="s">
        <v>90</v>
      </c>
      <c r="H52" s="1081" t="s">
        <v>90</v>
      </c>
      <c r="I52" s="1081" t="s">
        <v>90</v>
      </c>
      <c r="J52" s="1081" t="s">
        <v>90</v>
      </c>
      <c r="K52" s="719"/>
      <c r="M52" s="96" t="s">
        <v>87</v>
      </c>
    </row>
    <row r="53" spans="1:13" ht="14.25" x14ac:dyDescent="0.2">
      <c r="A53" s="1083" t="s">
        <v>1298</v>
      </c>
      <c r="B53" s="745">
        <f>B52+1</f>
        <v>4</v>
      </c>
      <c r="C53" s="145"/>
      <c r="D53" s="244">
        <f t="shared" si="19"/>
        <v>0</v>
      </c>
      <c r="E53" s="1084" t="s">
        <v>90</v>
      </c>
      <c r="F53" s="1084" t="s">
        <v>90</v>
      </c>
      <c r="G53" s="1084" t="s">
        <v>90</v>
      </c>
      <c r="H53" s="1084" t="s">
        <v>90</v>
      </c>
      <c r="I53" s="1084" t="s">
        <v>90</v>
      </c>
      <c r="J53" s="1084" t="s">
        <v>90</v>
      </c>
      <c r="K53" s="719"/>
      <c r="M53" s="96" t="s">
        <v>87</v>
      </c>
    </row>
    <row r="54" spans="1:13" ht="14.25" x14ac:dyDescent="0.2">
      <c r="A54" s="1077" t="s">
        <v>1291</v>
      </c>
      <c r="B54" s="745">
        <f>B53+1</f>
        <v>5</v>
      </c>
      <c r="C54" s="145"/>
      <c r="D54" s="1079">
        <f t="shared" si="19"/>
        <v>0</v>
      </c>
      <c r="E54" s="1078">
        <f t="shared" ref="E54:J54" si="21">SUM(E55:E56)</f>
        <v>0</v>
      </c>
      <c r="F54" s="1078">
        <f t="shared" si="21"/>
        <v>0</v>
      </c>
      <c r="G54" s="1078">
        <f t="shared" si="21"/>
        <v>0</v>
      </c>
      <c r="H54" s="1078">
        <f t="shared" si="21"/>
        <v>0</v>
      </c>
      <c r="I54" s="1078">
        <f t="shared" si="21"/>
        <v>0</v>
      </c>
      <c r="J54" s="1078">
        <f t="shared" si="21"/>
        <v>0</v>
      </c>
      <c r="K54" s="719"/>
      <c r="M54" s="96" t="s">
        <v>87</v>
      </c>
    </row>
    <row r="55" spans="1:13" ht="14.25" x14ac:dyDescent="0.2">
      <c r="A55" s="1080" t="s">
        <v>1297</v>
      </c>
      <c r="B55" s="745">
        <f>B54+1</f>
        <v>6</v>
      </c>
      <c r="C55" s="145"/>
      <c r="D55" s="239">
        <f t="shared" si="19"/>
        <v>0</v>
      </c>
      <c r="E55" s="1081" t="s">
        <v>90</v>
      </c>
      <c r="F55" s="1081" t="s">
        <v>90</v>
      </c>
      <c r="G55" s="1081" t="s">
        <v>90</v>
      </c>
      <c r="H55" s="1081" t="s">
        <v>90</v>
      </c>
      <c r="I55" s="1081" t="s">
        <v>90</v>
      </c>
      <c r="J55" s="1081" t="s">
        <v>90</v>
      </c>
      <c r="K55" s="719"/>
      <c r="M55" s="96" t="s">
        <v>87</v>
      </c>
    </row>
    <row r="56" spans="1:13" ht="14.25" x14ac:dyDescent="0.2">
      <c r="A56" s="1083" t="s">
        <v>1298</v>
      </c>
      <c r="B56" s="753">
        <f>B55+1</f>
        <v>7</v>
      </c>
      <c r="C56" s="262"/>
      <c r="D56" s="244">
        <f t="shared" si="19"/>
        <v>0</v>
      </c>
      <c r="E56" s="1084" t="s">
        <v>90</v>
      </c>
      <c r="F56" s="1084" t="s">
        <v>90</v>
      </c>
      <c r="G56" s="1084" t="s">
        <v>90</v>
      </c>
      <c r="H56" s="1084" t="s">
        <v>90</v>
      </c>
      <c r="I56" s="1084" t="s">
        <v>90</v>
      </c>
      <c r="J56" s="1084" t="s">
        <v>90</v>
      </c>
      <c r="K56" s="719"/>
      <c r="M56" s="96" t="s">
        <v>87</v>
      </c>
    </row>
    <row r="57" spans="1:13" ht="14.25" x14ac:dyDescent="0.2">
      <c r="B57" s="719"/>
      <c r="D57" s="719"/>
      <c r="E57" s="719"/>
      <c r="F57" s="719"/>
      <c r="G57" s="719"/>
      <c r="H57" s="719"/>
      <c r="I57" s="719"/>
      <c r="J57" s="719"/>
      <c r="K57" s="719"/>
      <c r="M57" s="96" t="s">
        <v>87</v>
      </c>
    </row>
    <row r="58" spans="1:13" ht="14.25" x14ac:dyDescent="0.2">
      <c r="B58" s="124">
        <v>126</v>
      </c>
      <c r="C58" s="167"/>
      <c r="D58" s="167" t="s">
        <v>1295</v>
      </c>
      <c r="E58" s="167">
        <v>3</v>
      </c>
      <c r="F58" s="167">
        <v>4</v>
      </c>
      <c r="G58" s="167">
        <v>5</v>
      </c>
      <c r="H58" s="167">
        <v>6</v>
      </c>
      <c r="I58" s="167">
        <v>7</v>
      </c>
      <c r="J58" s="214">
        <v>8</v>
      </c>
      <c r="M58" s="96" t="s">
        <v>87</v>
      </c>
    </row>
    <row r="59" spans="1:13" ht="25.5" x14ac:dyDescent="0.2">
      <c r="A59" s="1075" t="s">
        <v>1304</v>
      </c>
      <c r="B59" s="234">
        <v>1</v>
      </c>
      <c r="C59" s="224"/>
      <c r="D59" s="152">
        <f t="shared" ref="D59:J59" si="22">SUM(D60,D63)</f>
        <v>0</v>
      </c>
      <c r="E59" s="285">
        <f t="shared" si="22"/>
        <v>0</v>
      </c>
      <c r="F59" s="285">
        <f t="shared" si="22"/>
        <v>0</v>
      </c>
      <c r="G59" s="285">
        <f t="shared" si="22"/>
        <v>0</v>
      </c>
      <c r="H59" s="285">
        <f t="shared" si="22"/>
        <v>0</v>
      </c>
      <c r="I59" s="285">
        <f t="shared" si="22"/>
        <v>0</v>
      </c>
      <c r="J59" s="285">
        <f t="shared" si="22"/>
        <v>0</v>
      </c>
      <c r="M59" s="96" t="s">
        <v>87</v>
      </c>
    </row>
    <row r="60" spans="1:13" ht="14.25" x14ac:dyDescent="0.2">
      <c r="A60" s="1077" t="s">
        <v>697</v>
      </c>
      <c r="B60" s="234">
        <v>2</v>
      </c>
      <c r="C60" s="145"/>
      <c r="D60" s="1079">
        <f t="shared" ref="D60:D65" si="23">SUM(E60:J60)</f>
        <v>0</v>
      </c>
      <c r="E60" s="1078">
        <f t="shared" ref="E60:J60" si="24">SUM(E61:E62)</f>
        <v>0</v>
      </c>
      <c r="F60" s="1078">
        <f t="shared" si="24"/>
        <v>0</v>
      </c>
      <c r="G60" s="1078">
        <f t="shared" si="24"/>
        <v>0</v>
      </c>
      <c r="H60" s="1078">
        <f t="shared" si="24"/>
        <v>0</v>
      </c>
      <c r="I60" s="1078">
        <f t="shared" si="24"/>
        <v>0</v>
      </c>
      <c r="J60" s="1078">
        <f t="shared" si="24"/>
        <v>0</v>
      </c>
      <c r="M60" s="96" t="s">
        <v>87</v>
      </c>
    </row>
    <row r="61" spans="1:13" ht="14.25" x14ac:dyDescent="0.2">
      <c r="A61" s="1080" t="s">
        <v>1297</v>
      </c>
      <c r="B61" s="234">
        <v>3</v>
      </c>
      <c r="C61" s="145"/>
      <c r="D61" s="239">
        <f t="shared" si="23"/>
        <v>0</v>
      </c>
      <c r="E61" s="1081" t="s">
        <v>90</v>
      </c>
      <c r="F61" s="1081" t="s">
        <v>90</v>
      </c>
      <c r="G61" s="1081" t="s">
        <v>90</v>
      </c>
      <c r="H61" s="1081" t="s">
        <v>90</v>
      </c>
      <c r="I61" s="1081" t="s">
        <v>90</v>
      </c>
      <c r="J61" s="1081" t="s">
        <v>90</v>
      </c>
      <c r="M61" s="96" t="s">
        <v>87</v>
      </c>
    </row>
    <row r="62" spans="1:13" ht="14.25" x14ac:dyDescent="0.2">
      <c r="A62" s="1083" t="s">
        <v>1298</v>
      </c>
      <c r="B62" s="234">
        <v>4</v>
      </c>
      <c r="C62" s="145"/>
      <c r="D62" s="244">
        <f t="shared" si="23"/>
        <v>0</v>
      </c>
      <c r="E62" s="1084" t="s">
        <v>90</v>
      </c>
      <c r="F62" s="1084" t="s">
        <v>90</v>
      </c>
      <c r="G62" s="1084" t="s">
        <v>90</v>
      </c>
      <c r="H62" s="1084" t="s">
        <v>90</v>
      </c>
      <c r="I62" s="1084" t="s">
        <v>90</v>
      </c>
      <c r="J62" s="1084" t="s">
        <v>90</v>
      </c>
      <c r="M62" s="96" t="s">
        <v>87</v>
      </c>
    </row>
    <row r="63" spans="1:13" ht="14.25" x14ac:dyDescent="0.2">
      <c r="A63" s="1077" t="s">
        <v>1291</v>
      </c>
      <c r="B63" s="234">
        <v>5</v>
      </c>
      <c r="C63" s="145"/>
      <c r="D63" s="1079">
        <f t="shared" si="23"/>
        <v>0</v>
      </c>
      <c r="E63" s="1078">
        <f t="shared" ref="E63:J63" si="25">SUM(E64:E65)</f>
        <v>0</v>
      </c>
      <c r="F63" s="1078">
        <f t="shared" si="25"/>
        <v>0</v>
      </c>
      <c r="G63" s="1078">
        <f t="shared" si="25"/>
        <v>0</v>
      </c>
      <c r="H63" s="1078">
        <f t="shared" si="25"/>
        <v>0</v>
      </c>
      <c r="I63" s="1078">
        <f t="shared" si="25"/>
        <v>0</v>
      </c>
      <c r="J63" s="1078">
        <f t="shared" si="25"/>
        <v>0</v>
      </c>
      <c r="M63" s="96" t="s">
        <v>87</v>
      </c>
    </row>
    <row r="64" spans="1:13" ht="14.25" x14ac:dyDescent="0.2">
      <c r="A64" s="1080" t="s">
        <v>1297</v>
      </c>
      <c r="B64" s="234">
        <v>6</v>
      </c>
      <c r="C64" s="145"/>
      <c r="D64" s="239">
        <f t="shared" si="23"/>
        <v>0</v>
      </c>
      <c r="E64" s="1081" t="s">
        <v>90</v>
      </c>
      <c r="F64" s="1081" t="s">
        <v>90</v>
      </c>
      <c r="G64" s="1081" t="s">
        <v>90</v>
      </c>
      <c r="H64" s="1081" t="s">
        <v>90</v>
      </c>
      <c r="I64" s="1081" t="s">
        <v>90</v>
      </c>
      <c r="J64" s="1081" t="s">
        <v>90</v>
      </c>
      <c r="M64" s="96" t="s">
        <v>87</v>
      </c>
    </row>
    <row r="65" spans="1:13" ht="14.25" x14ac:dyDescent="0.2">
      <c r="A65" s="1083" t="s">
        <v>1298</v>
      </c>
      <c r="B65" s="261">
        <v>7</v>
      </c>
      <c r="C65" s="262"/>
      <c r="D65" s="244">
        <f t="shared" si="23"/>
        <v>0</v>
      </c>
      <c r="E65" s="1084" t="s">
        <v>90</v>
      </c>
      <c r="F65" s="1084" t="s">
        <v>90</v>
      </c>
      <c r="G65" s="1084" t="s">
        <v>90</v>
      </c>
      <c r="H65" s="1084" t="s">
        <v>90</v>
      </c>
      <c r="I65" s="1084" t="s">
        <v>90</v>
      </c>
      <c r="J65" s="1084" t="s">
        <v>90</v>
      </c>
      <c r="M65" s="96" t="s">
        <v>87</v>
      </c>
    </row>
    <row r="66" spans="1:13" ht="8.25" customHeight="1" x14ac:dyDescent="0.2">
      <c r="B66" s="719"/>
      <c r="D66" s="719"/>
      <c r="E66" s="719"/>
      <c r="F66" s="719"/>
      <c r="G66" s="719"/>
      <c r="H66" s="719"/>
      <c r="I66" s="719"/>
      <c r="J66" s="719"/>
      <c r="K66" s="719"/>
      <c r="M66" s="96" t="s">
        <v>87</v>
      </c>
    </row>
    <row r="67" spans="1:13" ht="14.25" x14ac:dyDescent="0.2">
      <c r="B67" s="104">
        <v>127</v>
      </c>
      <c r="C67" s="167"/>
      <c r="D67" s="167" t="s">
        <v>1295</v>
      </c>
      <c r="E67" s="167">
        <v>3</v>
      </c>
      <c r="F67" s="167">
        <v>4</v>
      </c>
      <c r="G67" s="167">
        <v>5</v>
      </c>
      <c r="H67" s="167">
        <v>6</v>
      </c>
      <c r="I67" s="167">
        <v>7</v>
      </c>
      <c r="J67" s="214">
        <v>8</v>
      </c>
      <c r="M67" s="96" t="s">
        <v>87</v>
      </c>
    </row>
    <row r="68" spans="1:13" ht="25.5" x14ac:dyDescent="0.2">
      <c r="A68" s="1075" t="s">
        <v>1305</v>
      </c>
      <c r="B68" s="234">
        <v>1</v>
      </c>
      <c r="C68" s="224"/>
      <c r="D68" s="152">
        <f t="shared" ref="D68:J68" si="26">SUM(D69,D72)</f>
        <v>0</v>
      </c>
      <c r="E68" s="285">
        <f t="shared" si="26"/>
        <v>0</v>
      </c>
      <c r="F68" s="285">
        <f t="shared" si="26"/>
        <v>0</v>
      </c>
      <c r="G68" s="285">
        <f t="shared" si="26"/>
        <v>0</v>
      </c>
      <c r="H68" s="285">
        <f t="shared" si="26"/>
        <v>0</v>
      </c>
      <c r="I68" s="285">
        <f t="shared" si="26"/>
        <v>0</v>
      </c>
      <c r="J68" s="285">
        <f t="shared" si="26"/>
        <v>0</v>
      </c>
      <c r="M68" s="96" t="s">
        <v>87</v>
      </c>
    </row>
    <row r="69" spans="1:13" ht="14.25" x14ac:dyDescent="0.2">
      <c r="A69" s="1077" t="s">
        <v>697</v>
      </c>
      <c r="B69" s="234">
        <v>2</v>
      </c>
      <c r="C69" s="145"/>
      <c r="D69" s="1079">
        <f t="shared" ref="D69:D74" si="27">SUM(E69:J69)</f>
        <v>0</v>
      </c>
      <c r="E69" s="1078">
        <f t="shared" ref="E69:J69" si="28">SUM(E70:E71)</f>
        <v>0</v>
      </c>
      <c r="F69" s="1078">
        <f t="shared" si="28"/>
        <v>0</v>
      </c>
      <c r="G69" s="1078">
        <f t="shared" si="28"/>
        <v>0</v>
      </c>
      <c r="H69" s="1078">
        <f t="shared" si="28"/>
        <v>0</v>
      </c>
      <c r="I69" s="1078">
        <f t="shared" si="28"/>
        <v>0</v>
      </c>
      <c r="J69" s="1078">
        <f t="shared" si="28"/>
        <v>0</v>
      </c>
      <c r="M69" s="96" t="s">
        <v>87</v>
      </c>
    </row>
    <row r="70" spans="1:13" ht="14.25" x14ac:dyDescent="0.2">
      <c r="A70" s="1080" t="s">
        <v>1297</v>
      </c>
      <c r="B70" s="234">
        <v>3</v>
      </c>
      <c r="C70" s="145"/>
      <c r="D70" s="239">
        <f t="shared" si="27"/>
        <v>0</v>
      </c>
      <c r="E70" s="1081" t="s">
        <v>90</v>
      </c>
      <c r="F70" s="1081" t="s">
        <v>90</v>
      </c>
      <c r="G70" s="1081" t="s">
        <v>90</v>
      </c>
      <c r="H70" s="1081" t="s">
        <v>90</v>
      </c>
      <c r="I70" s="1081" t="s">
        <v>90</v>
      </c>
      <c r="J70" s="1081" t="s">
        <v>90</v>
      </c>
      <c r="M70" s="96" t="s">
        <v>87</v>
      </c>
    </row>
    <row r="71" spans="1:13" ht="14.25" x14ac:dyDescent="0.2">
      <c r="A71" s="1083" t="s">
        <v>1298</v>
      </c>
      <c r="B71" s="234">
        <v>4</v>
      </c>
      <c r="C71" s="145"/>
      <c r="D71" s="244">
        <f t="shared" si="27"/>
        <v>0</v>
      </c>
      <c r="E71" s="1084" t="s">
        <v>90</v>
      </c>
      <c r="F71" s="1084" t="s">
        <v>90</v>
      </c>
      <c r="G71" s="1084" t="s">
        <v>90</v>
      </c>
      <c r="H71" s="1084" t="s">
        <v>90</v>
      </c>
      <c r="I71" s="1084" t="s">
        <v>90</v>
      </c>
      <c r="J71" s="1084" t="s">
        <v>90</v>
      </c>
      <c r="M71" s="96" t="s">
        <v>87</v>
      </c>
    </row>
    <row r="72" spans="1:13" ht="14.25" x14ac:dyDescent="0.2">
      <c r="A72" s="1077" t="s">
        <v>1291</v>
      </c>
      <c r="B72" s="234">
        <v>5</v>
      </c>
      <c r="C72" s="145"/>
      <c r="D72" s="1079">
        <f t="shared" si="27"/>
        <v>0</v>
      </c>
      <c r="E72" s="1078">
        <f t="shared" ref="E72:J72" si="29">SUM(E73:E74)</f>
        <v>0</v>
      </c>
      <c r="F72" s="1078">
        <f t="shared" si="29"/>
        <v>0</v>
      </c>
      <c r="G72" s="1078">
        <f t="shared" si="29"/>
        <v>0</v>
      </c>
      <c r="H72" s="1078">
        <f t="shared" si="29"/>
        <v>0</v>
      </c>
      <c r="I72" s="1078">
        <f t="shared" si="29"/>
        <v>0</v>
      </c>
      <c r="J72" s="1078">
        <f t="shared" si="29"/>
        <v>0</v>
      </c>
      <c r="M72" s="96" t="s">
        <v>87</v>
      </c>
    </row>
    <row r="73" spans="1:13" ht="14.25" x14ac:dyDescent="0.2">
      <c r="A73" s="1080" t="s">
        <v>1297</v>
      </c>
      <c r="B73" s="234">
        <v>6</v>
      </c>
      <c r="C73" s="145"/>
      <c r="D73" s="239">
        <f t="shared" si="27"/>
        <v>0</v>
      </c>
      <c r="E73" s="1081" t="s">
        <v>90</v>
      </c>
      <c r="F73" s="1081" t="s">
        <v>90</v>
      </c>
      <c r="G73" s="1081" t="s">
        <v>90</v>
      </c>
      <c r="H73" s="1081" t="s">
        <v>90</v>
      </c>
      <c r="I73" s="1081" t="s">
        <v>90</v>
      </c>
      <c r="J73" s="1081" t="s">
        <v>90</v>
      </c>
      <c r="M73" s="96" t="s">
        <v>87</v>
      </c>
    </row>
    <row r="74" spans="1:13" ht="14.25" x14ac:dyDescent="0.2">
      <c r="A74" s="1083" t="s">
        <v>1298</v>
      </c>
      <c r="B74" s="261">
        <v>7</v>
      </c>
      <c r="C74" s="262"/>
      <c r="D74" s="244">
        <f t="shared" si="27"/>
        <v>0</v>
      </c>
      <c r="E74" s="1084" t="s">
        <v>90</v>
      </c>
      <c r="F74" s="1084" t="s">
        <v>90</v>
      </c>
      <c r="G74" s="1084" t="s">
        <v>90</v>
      </c>
      <c r="H74" s="1084" t="s">
        <v>90</v>
      </c>
      <c r="I74" s="1084" t="s">
        <v>90</v>
      </c>
      <c r="J74" s="1084" t="s">
        <v>90</v>
      </c>
      <c r="M74" s="96" t="s">
        <v>87</v>
      </c>
    </row>
    <row r="75" spans="1:13" ht="8.25" customHeight="1" x14ac:dyDescent="0.2">
      <c r="B75" s="719"/>
      <c r="D75" s="719"/>
      <c r="E75" s="719"/>
      <c r="F75" s="719"/>
      <c r="G75" s="719"/>
      <c r="H75" s="719"/>
      <c r="I75" s="719"/>
      <c r="J75" s="719"/>
      <c r="M75" s="96" t="s">
        <v>87</v>
      </c>
    </row>
    <row r="76" spans="1:13" ht="14.25" x14ac:dyDescent="0.2">
      <c r="B76" s="104">
        <v>128</v>
      </c>
      <c r="C76" s="167"/>
      <c r="D76" s="167" t="s">
        <v>1295</v>
      </c>
      <c r="E76" s="167">
        <v>3</v>
      </c>
      <c r="F76" s="167">
        <v>4</v>
      </c>
      <c r="G76" s="167">
        <v>5</v>
      </c>
      <c r="H76" s="167">
        <v>6</v>
      </c>
      <c r="I76" s="167">
        <v>7</v>
      </c>
      <c r="J76" s="214">
        <v>8</v>
      </c>
      <c r="M76" s="96" t="s">
        <v>87</v>
      </c>
    </row>
    <row r="77" spans="1:13" ht="25.5" x14ac:dyDescent="0.2">
      <c r="A77" s="1075" t="s">
        <v>1306</v>
      </c>
      <c r="B77" s="234">
        <v>1</v>
      </c>
      <c r="C77" s="224"/>
      <c r="D77" s="152">
        <f t="shared" ref="D77:J77" si="30">SUM(D78,D81)</f>
        <v>0</v>
      </c>
      <c r="E77" s="285">
        <f t="shared" si="30"/>
        <v>0</v>
      </c>
      <c r="F77" s="285">
        <f t="shared" si="30"/>
        <v>0</v>
      </c>
      <c r="G77" s="285">
        <f t="shared" si="30"/>
        <v>0</v>
      </c>
      <c r="H77" s="285">
        <f t="shared" si="30"/>
        <v>0</v>
      </c>
      <c r="I77" s="285">
        <f t="shared" si="30"/>
        <v>0</v>
      </c>
      <c r="J77" s="285">
        <f t="shared" si="30"/>
        <v>0</v>
      </c>
      <c r="M77" s="96" t="s">
        <v>87</v>
      </c>
    </row>
    <row r="78" spans="1:13" ht="14.25" x14ac:dyDescent="0.2">
      <c r="A78" s="1077" t="s">
        <v>697</v>
      </c>
      <c r="B78" s="234">
        <v>2</v>
      </c>
      <c r="C78" s="145"/>
      <c r="D78" s="1079">
        <f t="shared" ref="D78:D83" si="31">SUM(E78:J78)</f>
        <v>0</v>
      </c>
      <c r="E78" s="1078">
        <f t="shared" ref="E78:J78" si="32">SUM(E79:E80)</f>
        <v>0</v>
      </c>
      <c r="F78" s="1078">
        <f t="shared" si="32"/>
        <v>0</v>
      </c>
      <c r="G78" s="1078">
        <f t="shared" si="32"/>
        <v>0</v>
      </c>
      <c r="H78" s="1078">
        <f t="shared" si="32"/>
        <v>0</v>
      </c>
      <c r="I78" s="1078">
        <f t="shared" si="32"/>
        <v>0</v>
      </c>
      <c r="J78" s="1078">
        <f t="shared" si="32"/>
        <v>0</v>
      </c>
      <c r="M78" s="96" t="s">
        <v>87</v>
      </c>
    </row>
    <row r="79" spans="1:13" ht="14.25" x14ac:dyDescent="0.2">
      <c r="A79" s="1080" t="s">
        <v>1297</v>
      </c>
      <c r="B79" s="234">
        <v>3</v>
      </c>
      <c r="C79" s="145"/>
      <c r="D79" s="239">
        <f t="shared" si="31"/>
        <v>0</v>
      </c>
      <c r="E79" s="1081" t="s">
        <v>90</v>
      </c>
      <c r="F79" s="1081" t="s">
        <v>90</v>
      </c>
      <c r="G79" s="1081" t="s">
        <v>90</v>
      </c>
      <c r="H79" s="1081" t="s">
        <v>90</v>
      </c>
      <c r="I79" s="1081" t="s">
        <v>90</v>
      </c>
      <c r="J79" s="1081" t="s">
        <v>90</v>
      </c>
      <c r="M79" s="96" t="s">
        <v>87</v>
      </c>
    </row>
    <row r="80" spans="1:13" ht="14.25" x14ac:dyDescent="0.2">
      <c r="A80" s="1083" t="s">
        <v>1298</v>
      </c>
      <c r="B80" s="234">
        <v>4</v>
      </c>
      <c r="C80" s="145"/>
      <c r="D80" s="244">
        <f t="shared" si="31"/>
        <v>0</v>
      </c>
      <c r="E80" s="1084" t="s">
        <v>90</v>
      </c>
      <c r="F80" s="1084" t="s">
        <v>90</v>
      </c>
      <c r="G80" s="1084" t="s">
        <v>90</v>
      </c>
      <c r="H80" s="1084" t="s">
        <v>90</v>
      </c>
      <c r="I80" s="1084" t="s">
        <v>90</v>
      </c>
      <c r="J80" s="1084" t="s">
        <v>90</v>
      </c>
      <c r="M80" s="96" t="s">
        <v>87</v>
      </c>
    </row>
    <row r="81" spans="1:13" ht="14.25" x14ac:dyDescent="0.2">
      <c r="A81" s="1077" t="s">
        <v>1291</v>
      </c>
      <c r="B81" s="234">
        <v>5</v>
      </c>
      <c r="C81" s="145"/>
      <c r="D81" s="1079">
        <f t="shared" si="31"/>
        <v>0</v>
      </c>
      <c r="E81" s="1078">
        <f t="shared" ref="E81:J81" si="33">SUM(E82:E83)</f>
        <v>0</v>
      </c>
      <c r="F81" s="1078">
        <f t="shared" si="33"/>
        <v>0</v>
      </c>
      <c r="G81" s="1078">
        <f t="shared" si="33"/>
        <v>0</v>
      </c>
      <c r="H81" s="1078">
        <f t="shared" si="33"/>
        <v>0</v>
      </c>
      <c r="I81" s="1078">
        <f t="shared" si="33"/>
        <v>0</v>
      </c>
      <c r="J81" s="1078">
        <f t="shared" si="33"/>
        <v>0</v>
      </c>
      <c r="M81" s="96" t="s">
        <v>87</v>
      </c>
    </row>
    <row r="82" spans="1:13" ht="14.25" x14ac:dyDescent="0.2">
      <c r="A82" s="1080" t="s">
        <v>1297</v>
      </c>
      <c r="B82" s="234">
        <v>6</v>
      </c>
      <c r="C82" s="145"/>
      <c r="D82" s="239">
        <f t="shared" si="31"/>
        <v>0</v>
      </c>
      <c r="E82" s="1081" t="s">
        <v>90</v>
      </c>
      <c r="F82" s="1081" t="s">
        <v>90</v>
      </c>
      <c r="G82" s="1081" t="s">
        <v>90</v>
      </c>
      <c r="H82" s="1081" t="s">
        <v>90</v>
      </c>
      <c r="I82" s="1081" t="s">
        <v>90</v>
      </c>
      <c r="J82" s="1081" t="s">
        <v>90</v>
      </c>
      <c r="M82" s="96" t="s">
        <v>87</v>
      </c>
    </row>
    <row r="83" spans="1:13" ht="14.25" x14ac:dyDescent="0.2">
      <c r="A83" s="1083" t="s">
        <v>1298</v>
      </c>
      <c r="B83" s="261">
        <v>7</v>
      </c>
      <c r="C83" s="262"/>
      <c r="D83" s="244">
        <f t="shared" si="31"/>
        <v>0</v>
      </c>
      <c r="E83" s="1084" t="s">
        <v>90</v>
      </c>
      <c r="F83" s="1084" t="s">
        <v>90</v>
      </c>
      <c r="G83" s="1084" t="s">
        <v>90</v>
      </c>
      <c r="H83" s="1084" t="s">
        <v>90</v>
      </c>
      <c r="I83" s="1084" t="s">
        <v>90</v>
      </c>
      <c r="J83" s="1084" t="s">
        <v>90</v>
      </c>
      <c r="M83" s="96" t="s">
        <v>87</v>
      </c>
    </row>
    <row r="84" spans="1:13" ht="7.5" customHeight="1" x14ac:dyDescent="0.2">
      <c r="B84" s="719"/>
      <c r="D84" s="719"/>
      <c r="E84" s="719"/>
      <c r="F84" s="719"/>
      <c r="G84" s="719"/>
      <c r="H84" s="719"/>
      <c r="I84" s="719"/>
      <c r="J84" s="719"/>
      <c r="M84" s="96" t="s">
        <v>87</v>
      </c>
    </row>
    <row r="85" spans="1:13" ht="14.25" x14ac:dyDescent="0.2">
      <c r="B85" s="124">
        <v>129</v>
      </c>
      <c r="C85" s="167"/>
      <c r="D85" s="167" t="s">
        <v>1295</v>
      </c>
      <c r="E85" s="167">
        <v>3</v>
      </c>
      <c r="F85" s="167">
        <v>4</v>
      </c>
      <c r="G85" s="167">
        <v>5</v>
      </c>
      <c r="H85" s="167">
        <v>6</v>
      </c>
      <c r="I85" s="167">
        <v>7</v>
      </c>
      <c r="J85" s="214">
        <v>8</v>
      </c>
      <c r="M85" s="96" t="s">
        <v>87</v>
      </c>
    </row>
    <row r="86" spans="1:13" ht="25.5" x14ac:dyDescent="0.2">
      <c r="A86" s="1075" t="s">
        <v>1307</v>
      </c>
      <c r="B86" s="234">
        <v>1</v>
      </c>
      <c r="C86" s="224"/>
      <c r="D86" s="152">
        <f t="shared" ref="D86:J86" si="34">SUM(D87,D90)</f>
        <v>0</v>
      </c>
      <c r="E86" s="285">
        <f t="shared" si="34"/>
        <v>0</v>
      </c>
      <c r="F86" s="285">
        <f t="shared" si="34"/>
        <v>0</v>
      </c>
      <c r="G86" s="285">
        <f t="shared" si="34"/>
        <v>0</v>
      </c>
      <c r="H86" s="285">
        <f t="shared" si="34"/>
        <v>0</v>
      </c>
      <c r="I86" s="285">
        <f t="shared" si="34"/>
        <v>0</v>
      </c>
      <c r="J86" s="285">
        <f t="shared" si="34"/>
        <v>0</v>
      </c>
      <c r="K86" s="719"/>
      <c r="M86" s="96" t="s">
        <v>87</v>
      </c>
    </row>
    <row r="87" spans="1:13" ht="14.25" x14ac:dyDescent="0.2">
      <c r="A87" s="1077" t="s">
        <v>697</v>
      </c>
      <c r="B87" s="234">
        <v>2</v>
      </c>
      <c r="C87" s="145"/>
      <c r="D87" s="1079">
        <f t="shared" ref="D87:D92" si="35">SUM(E87:J87)</f>
        <v>0</v>
      </c>
      <c r="E87" s="1078">
        <f t="shared" ref="E87:J87" si="36">SUM(E88:E89)</f>
        <v>0</v>
      </c>
      <c r="F87" s="1078">
        <f t="shared" si="36"/>
        <v>0</v>
      </c>
      <c r="G87" s="1078">
        <f t="shared" si="36"/>
        <v>0</v>
      </c>
      <c r="H87" s="1078">
        <f t="shared" si="36"/>
        <v>0</v>
      </c>
      <c r="I87" s="1078">
        <f t="shared" si="36"/>
        <v>0</v>
      </c>
      <c r="J87" s="1078">
        <f t="shared" si="36"/>
        <v>0</v>
      </c>
      <c r="K87" s="719"/>
      <c r="M87" s="96" t="s">
        <v>87</v>
      </c>
    </row>
    <row r="88" spans="1:13" ht="14.25" x14ac:dyDescent="0.2">
      <c r="A88" s="1080" t="s">
        <v>1297</v>
      </c>
      <c r="B88" s="234">
        <v>3</v>
      </c>
      <c r="C88" s="145"/>
      <c r="D88" s="239">
        <f t="shared" si="35"/>
        <v>0</v>
      </c>
      <c r="E88" s="1081" t="s">
        <v>90</v>
      </c>
      <c r="F88" s="1081" t="s">
        <v>90</v>
      </c>
      <c r="G88" s="1081" t="s">
        <v>90</v>
      </c>
      <c r="H88" s="1081" t="s">
        <v>90</v>
      </c>
      <c r="I88" s="1081" t="s">
        <v>90</v>
      </c>
      <c r="J88" s="1081" t="s">
        <v>90</v>
      </c>
      <c r="K88" s="719"/>
      <c r="M88" s="96" t="s">
        <v>87</v>
      </c>
    </row>
    <row r="89" spans="1:13" ht="14.25" x14ac:dyDescent="0.2">
      <c r="A89" s="1083" t="s">
        <v>1298</v>
      </c>
      <c r="B89" s="234">
        <v>4</v>
      </c>
      <c r="C89" s="145"/>
      <c r="D89" s="244">
        <f t="shared" si="35"/>
        <v>0</v>
      </c>
      <c r="E89" s="1084" t="s">
        <v>90</v>
      </c>
      <c r="F89" s="1084" t="s">
        <v>90</v>
      </c>
      <c r="G89" s="1084" t="s">
        <v>90</v>
      </c>
      <c r="H89" s="1084" t="s">
        <v>90</v>
      </c>
      <c r="I89" s="1084" t="s">
        <v>90</v>
      </c>
      <c r="J89" s="1084" t="s">
        <v>90</v>
      </c>
      <c r="K89" s="719"/>
      <c r="M89" s="96" t="s">
        <v>87</v>
      </c>
    </row>
    <row r="90" spans="1:13" ht="14.25" x14ac:dyDescent="0.2">
      <c r="A90" s="1077" t="s">
        <v>1291</v>
      </c>
      <c r="B90" s="234">
        <v>5</v>
      </c>
      <c r="C90" s="145"/>
      <c r="D90" s="1079">
        <f t="shared" si="35"/>
        <v>0</v>
      </c>
      <c r="E90" s="1078">
        <f t="shared" ref="E90:J90" si="37">SUM(E91:E92)</f>
        <v>0</v>
      </c>
      <c r="F90" s="1078">
        <f t="shared" si="37"/>
        <v>0</v>
      </c>
      <c r="G90" s="1078">
        <f t="shared" si="37"/>
        <v>0</v>
      </c>
      <c r="H90" s="1078">
        <f t="shared" si="37"/>
        <v>0</v>
      </c>
      <c r="I90" s="1078">
        <f t="shared" si="37"/>
        <v>0</v>
      </c>
      <c r="J90" s="1078">
        <f t="shared" si="37"/>
        <v>0</v>
      </c>
      <c r="K90" s="719"/>
      <c r="M90" s="96" t="s">
        <v>87</v>
      </c>
    </row>
    <row r="91" spans="1:13" ht="14.25" x14ac:dyDescent="0.2">
      <c r="A91" s="1080" t="s">
        <v>1297</v>
      </c>
      <c r="B91" s="234">
        <v>6</v>
      </c>
      <c r="C91" s="145"/>
      <c r="D91" s="239">
        <f t="shared" si="35"/>
        <v>0</v>
      </c>
      <c r="E91" s="1081" t="s">
        <v>90</v>
      </c>
      <c r="F91" s="1081" t="s">
        <v>90</v>
      </c>
      <c r="G91" s="1081" t="s">
        <v>90</v>
      </c>
      <c r="H91" s="1081" t="s">
        <v>90</v>
      </c>
      <c r="I91" s="1081" t="s">
        <v>90</v>
      </c>
      <c r="J91" s="1081" t="s">
        <v>90</v>
      </c>
      <c r="K91" s="719"/>
      <c r="M91" s="96" t="s">
        <v>87</v>
      </c>
    </row>
    <row r="92" spans="1:13" ht="14.25" x14ac:dyDescent="0.2">
      <c r="A92" s="1083" t="s">
        <v>1298</v>
      </c>
      <c r="B92" s="261">
        <v>7</v>
      </c>
      <c r="C92" s="262"/>
      <c r="D92" s="244">
        <f t="shared" si="35"/>
        <v>0</v>
      </c>
      <c r="E92" s="1084" t="s">
        <v>90</v>
      </c>
      <c r="F92" s="1084" t="s">
        <v>90</v>
      </c>
      <c r="G92" s="1084" t="s">
        <v>90</v>
      </c>
      <c r="H92" s="1084" t="s">
        <v>90</v>
      </c>
      <c r="I92" s="1084" t="s">
        <v>90</v>
      </c>
      <c r="J92" s="1084" t="s">
        <v>90</v>
      </c>
      <c r="K92" s="719"/>
      <c r="M92" s="96" t="s">
        <v>87</v>
      </c>
    </row>
    <row r="93" spans="1:13" ht="14.25" x14ac:dyDescent="0.2">
      <c r="B93" s="719"/>
      <c r="D93" s="719"/>
      <c r="E93" s="719"/>
      <c r="F93" s="719"/>
      <c r="G93" s="719"/>
      <c r="H93" s="719"/>
      <c r="I93" s="719"/>
      <c r="J93" s="719"/>
      <c r="K93" s="719"/>
      <c r="M93" s="96" t="s">
        <v>87</v>
      </c>
    </row>
    <row r="94" spans="1:13" ht="14.25" x14ac:dyDescent="0.2">
      <c r="B94" s="124">
        <v>130</v>
      </c>
      <c r="C94" s="167">
        <v>1</v>
      </c>
      <c r="D94" s="167" t="s">
        <v>1295</v>
      </c>
      <c r="E94" s="167">
        <v>3</v>
      </c>
      <c r="F94" s="167">
        <v>4</v>
      </c>
      <c r="G94" s="167">
        <v>5</v>
      </c>
      <c r="H94" s="167">
        <v>6</v>
      </c>
      <c r="I94" s="167">
        <v>7</v>
      </c>
      <c r="J94" s="214">
        <v>8</v>
      </c>
      <c r="K94" s="719"/>
      <c r="M94" s="96" t="s">
        <v>87</v>
      </c>
    </row>
    <row r="95" spans="1:13" ht="14.25" x14ac:dyDescent="0.2">
      <c r="A95" s="1075" t="s">
        <v>1308</v>
      </c>
      <c r="B95" s="234">
        <v>1</v>
      </c>
      <c r="C95" s="224"/>
      <c r="D95" s="885">
        <f t="shared" ref="D95:J95" si="38">SUM(D96,D99,D102)</f>
        <v>0</v>
      </c>
      <c r="E95" s="565">
        <f t="shared" si="38"/>
        <v>0</v>
      </c>
      <c r="F95" s="565">
        <f t="shared" si="38"/>
        <v>0</v>
      </c>
      <c r="G95" s="565">
        <f t="shared" si="38"/>
        <v>0</v>
      </c>
      <c r="H95" s="565">
        <f t="shared" si="38"/>
        <v>0</v>
      </c>
      <c r="I95" s="565">
        <f t="shared" si="38"/>
        <v>0</v>
      </c>
      <c r="J95" s="565">
        <f t="shared" si="38"/>
        <v>0</v>
      </c>
      <c r="K95" s="719"/>
      <c r="M95" s="96" t="s">
        <v>87</v>
      </c>
    </row>
    <row r="96" spans="1:13" ht="14.25" x14ac:dyDescent="0.2">
      <c r="A96" s="1077" t="str">
        <f>A$15</f>
        <v>Non-life</v>
      </c>
      <c r="B96" s="234">
        <v>2</v>
      </c>
      <c r="C96" s="1078">
        <f>SUM(C97:C98)</f>
        <v>0</v>
      </c>
      <c r="D96" s="1079">
        <f t="shared" ref="D96:D102" si="39">SUM(E96:J96)</f>
        <v>0</v>
      </c>
      <c r="E96" s="1078">
        <f t="shared" ref="E96:J96" si="40">SUM(E97:E98)</f>
        <v>0</v>
      </c>
      <c r="F96" s="1078">
        <f t="shared" si="40"/>
        <v>0</v>
      </c>
      <c r="G96" s="1078">
        <f t="shared" si="40"/>
        <v>0</v>
      </c>
      <c r="H96" s="1078">
        <f t="shared" si="40"/>
        <v>0</v>
      </c>
      <c r="I96" s="1078">
        <f t="shared" si="40"/>
        <v>0</v>
      </c>
      <c r="J96" s="1078">
        <f t="shared" si="40"/>
        <v>0</v>
      </c>
      <c r="K96" s="719"/>
      <c r="M96" s="96" t="s">
        <v>87</v>
      </c>
    </row>
    <row r="97" spans="1:13" ht="14.25" x14ac:dyDescent="0.2">
      <c r="A97" s="1080" t="str">
        <f>A$16</f>
        <v>of which: direct</v>
      </c>
      <c r="B97" s="234">
        <v>3</v>
      </c>
      <c r="C97" s="239">
        <f>SUM(K97)*SUM(D97)</f>
        <v>0</v>
      </c>
      <c r="D97" s="239">
        <f t="shared" si="39"/>
        <v>0</v>
      </c>
      <c r="E97" s="1081" t="s">
        <v>90</v>
      </c>
      <c r="F97" s="1081" t="s">
        <v>90</v>
      </c>
      <c r="G97" s="1081" t="s">
        <v>90</v>
      </c>
      <c r="H97" s="1081" t="s">
        <v>90</v>
      </c>
      <c r="I97" s="1081" t="s">
        <v>90</v>
      </c>
      <c r="J97" s="1081" t="s">
        <v>90</v>
      </c>
      <c r="K97" s="1082">
        <v>0.03</v>
      </c>
      <c r="M97" s="96" t="s">
        <v>87</v>
      </c>
    </row>
    <row r="98" spans="1:13" ht="14.25" x14ac:dyDescent="0.2">
      <c r="A98" s="1083" t="str">
        <f>A$17</f>
        <v>of which: assumed</v>
      </c>
      <c r="B98" s="234">
        <v>4</v>
      </c>
      <c r="C98" s="239">
        <f>SUM(K98)*SUM(D98)</f>
        <v>0</v>
      </c>
      <c r="D98" s="244">
        <f t="shared" si="39"/>
        <v>0</v>
      </c>
      <c r="E98" s="1084" t="s">
        <v>90</v>
      </c>
      <c r="F98" s="1084" t="s">
        <v>90</v>
      </c>
      <c r="G98" s="1084" t="s">
        <v>90</v>
      </c>
      <c r="H98" s="1084" t="s">
        <v>90</v>
      </c>
      <c r="I98" s="1084" t="s">
        <v>90</v>
      </c>
      <c r="J98" s="1084" t="s">
        <v>90</v>
      </c>
      <c r="K98" s="1085">
        <v>2.5000000000000001E-2</v>
      </c>
      <c r="M98" s="96" t="s">
        <v>87</v>
      </c>
    </row>
    <row r="99" spans="1:13" ht="14.25" x14ac:dyDescent="0.2">
      <c r="A99" s="1077" t="str">
        <f>A$18</f>
        <v>Life (risk)</v>
      </c>
      <c r="B99" s="234">
        <v>5</v>
      </c>
      <c r="C99" s="1078">
        <f>SUM(C100:C101)</f>
        <v>0</v>
      </c>
      <c r="D99" s="1079">
        <f t="shared" si="39"/>
        <v>0</v>
      </c>
      <c r="E99" s="1078">
        <f t="shared" ref="E99:J99" si="41">SUM(E100:E101)</f>
        <v>0</v>
      </c>
      <c r="F99" s="1078">
        <f t="shared" si="41"/>
        <v>0</v>
      </c>
      <c r="G99" s="1078">
        <f t="shared" si="41"/>
        <v>0</v>
      </c>
      <c r="H99" s="1078">
        <f t="shared" si="41"/>
        <v>0</v>
      </c>
      <c r="I99" s="1078">
        <f t="shared" si="41"/>
        <v>0</v>
      </c>
      <c r="J99" s="1078">
        <f t="shared" si="41"/>
        <v>0</v>
      </c>
      <c r="K99" s="719"/>
      <c r="M99" s="96" t="s">
        <v>87</v>
      </c>
    </row>
    <row r="100" spans="1:13" ht="14.25" x14ac:dyDescent="0.2">
      <c r="A100" s="1080" t="str">
        <f>A$19</f>
        <v>of which: direct</v>
      </c>
      <c r="B100" s="234">
        <v>6</v>
      </c>
      <c r="C100" s="239">
        <f>SUM(K100)*SUM(D100)</f>
        <v>0</v>
      </c>
      <c r="D100" s="239">
        <f t="shared" si="39"/>
        <v>0</v>
      </c>
      <c r="E100" s="1081" t="s">
        <v>90</v>
      </c>
      <c r="F100" s="1081" t="s">
        <v>90</v>
      </c>
      <c r="G100" s="1081" t="s">
        <v>90</v>
      </c>
      <c r="H100" s="1081" t="s">
        <v>90</v>
      </c>
      <c r="I100" s="1081" t="s">
        <v>90</v>
      </c>
      <c r="J100" s="1081" t="s">
        <v>90</v>
      </c>
      <c r="K100" s="747">
        <v>4.0000000000000001E-3</v>
      </c>
      <c r="M100" s="96" t="s">
        <v>87</v>
      </c>
    </row>
    <row r="101" spans="1:13" ht="14.25" x14ac:dyDescent="0.2">
      <c r="A101" s="1083" t="str">
        <f>A$20</f>
        <v>of which: assumed</v>
      </c>
      <c r="B101" s="234">
        <v>7</v>
      </c>
      <c r="C101" s="1089">
        <f>SUM(K101)*SUM(D101)</f>
        <v>0</v>
      </c>
      <c r="D101" s="1089">
        <f t="shared" si="39"/>
        <v>0</v>
      </c>
      <c r="E101" s="1090" t="s">
        <v>90</v>
      </c>
      <c r="F101" s="1090" t="s">
        <v>90</v>
      </c>
      <c r="G101" s="1090" t="s">
        <v>90</v>
      </c>
      <c r="H101" s="1090" t="s">
        <v>90</v>
      </c>
      <c r="I101" s="1090" t="s">
        <v>90</v>
      </c>
      <c r="J101" s="1090" t="s">
        <v>90</v>
      </c>
      <c r="K101" s="1091">
        <v>3.5000000000000001E-3</v>
      </c>
      <c r="M101" s="96" t="s">
        <v>87</v>
      </c>
    </row>
    <row r="102" spans="1:13" ht="14.25" x14ac:dyDescent="0.2">
      <c r="A102" s="1092" t="s">
        <v>1292</v>
      </c>
      <c r="B102" s="261">
        <v>8</v>
      </c>
      <c r="C102" s="565">
        <f>SUM(K102)*SUM(D102)</f>
        <v>0</v>
      </c>
      <c r="D102" s="565">
        <f t="shared" si="39"/>
        <v>0</v>
      </c>
      <c r="E102" s="144" t="s">
        <v>90</v>
      </c>
      <c r="F102" s="144" t="s">
        <v>90</v>
      </c>
      <c r="G102" s="144" t="s">
        <v>90</v>
      </c>
      <c r="H102" s="144" t="s">
        <v>90</v>
      </c>
      <c r="I102" s="144" t="s">
        <v>90</v>
      </c>
      <c r="J102" s="144" t="s">
        <v>90</v>
      </c>
      <c r="K102" s="1085">
        <v>4.4999999999999997E-3</v>
      </c>
      <c r="M102" s="96" t="s">
        <v>87</v>
      </c>
    </row>
    <row r="103" spans="1:13" ht="6.75" customHeight="1" x14ac:dyDescent="0.2">
      <c r="B103" s="719"/>
      <c r="D103" s="719"/>
      <c r="E103" s="719"/>
      <c r="F103" s="719"/>
      <c r="G103" s="719"/>
      <c r="H103" s="719"/>
      <c r="I103" s="719"/>
      <c r="J103" s="719"/>
      <c r="K103" s="719"/>
      <c r="M103" s="96" t="s">
        <v>87</v>
      </c>
    </row>
    <row r="104" spans="1:13" ht="14.25" x14ac:dyDescent="0.2">
      <c r="B104" s="104">
        <v>131</v>
      </c>
      <c r="C104" s="167"/>
      <c r="D104" s="167" t="s">
        <v>1295</v>
      </c>
      <c r="E104" s="167">
        <v>3</v>
      </c>
      <c r="F104" s="167">
        <v>4</v>
      </c>
      <c r="G104" s="167">
        <v>5</v>
      </c>
      <c r="H104" s="167">
        <v>6</v>
      </c>
      <c r="I104" s="167">
        <v>7</v>
      </c>
      <c r="J104" s="214">
        <v>8</v>
      </c>
      <c r="K104" s="719"/>
      <c r="M104" s="96" t="s">
        <v>87</v>
      </c>
    </row>
    <row r="105" spans="1:13" ht="14.25" x14ac:dyDescent="0.2">
      <c r="A105" s="1075" t="s">
        <v>1309</v>
      </c>
      <c r="B105" s="234">
        <v>1</v>
      </c>
      <c r="C105" s="224"/>
      <c r="D105" s="885">
        <f t="shared" ref="D105:J105" si="42">SUM(D106,D109,D112)</f>
        <v>0</v>
      </c>
      <c r="E105" s="565">
        <f t="shared" si="42"/>
        <v>0</v>
      </c>
      <c r="F105" s="565">
        <f t="shared" si="42"/>
        <v>0</v>
      </c>
      <c r="G105" s="565">
        <f t="shared" si="42"/>
        <v>0</v>
      </c>
      <c r="H105" s="565">
        <f t="shared" si="42"/>
        <v>0</v>
      </c>
      <c r="I105" s="565">
        <f t="shared" si="42"/>
        <v>0</v>
      </c>
      <c r="J105" s="565">
        <f t="shared" si="42"/>
        <v>0</v>
      </c>
      <c r="K105" s="719"/>
      <c r="M105" s="96" t="s">
        <v>87</v>
      </c>
    </row>
    <row r="106" spans="1:13" ht="14.25" x14ac:dyDescent="0.2">
      <c r="A106" s="1077" t="str">
        <f>A$15</f>
        <v>Non-life</v>
      </c>
      <c r="B106" s="234">
        <v>2</v>
      </c>
      <c r="C106" s="145"/>
      <c r="D106" s="1079">
        <f t="shared" ref="D106:D112" si="43">SUM(E106:J106)</f>
        <v>0</v>
      </c>
      <c r="E106" s="1078">
        <f t="shared" ref="E106:J106" si="44">SUM(E107:E108)</f>
        <v>0</v>
      </c>
      <c r="F106" s="1078">
        <f t="shared" si="44"/>
        <v>0</v>
      </c>
      <c r="G106" s="1078">
        <f t="shared" si="44"/>
        <v>0</v>
      </c>
      <c r="H106" s="1078">
        <f t="shared" si="44"/>
        <v>0</v>
      </c>
      <c r="I106" s="1078">
        <f t="shared" si="44"/>
        <v>0</v>
      </c>
      <c r="J106" s="1078">
        <f t="shared" si="44"/>
        <v>0</v>
      </c>
      <c r="K106" s="719"/>
      <c r="M106" s="96" t="s">
        <v>87</v>
      </c>
    </row>
    <row r="107" spans="1:13" ht="14.25" x14ac:dyDescent="0.2">
      <c r="A107" s="1080" t="str">
        <f>A$16</f>
        <v>of which: direct</v>
      </c>
      <c r="B107" s="234">
        <v>3</v>
      </c>
      <c r="C107" s="145"/>
      <c r="D107" s="239">
        <f t="shared" si="43"/>
        <v>0</v>
      </c>
      <c r="E107" s="1081" t="s">
        <v>90</v>
      </c>
      <c r="F107" s="1081" t="s">
        <v>90</v>
      </c>
      <c r="G107" s="1081" t="s">
        <v>90</v>
      </c>
      <c r="H107" s="1081" t="s">
        <v>90</v>
      </c>
      <c r="I107" s="1081" t="s">
        <v>90</v>
      </c>
      <c r="J107" s="1081" t="s">
        <v>90</v>
      </c>
      <c r="K107" s="719"/>
      <c r="M107" s="96" t="s">
        <v>87</v>
      </c>
    </row>
    <row r="108" spans="1:13" ht="14.25" x14ac:dyDescent="0.2">
      <c r="A108" s="1083" t="str">
        <f>A$17</f>
        <v>of which: assumed</v>
      </c>
      <c r="B108" s="234">
        <v>4</v>
      </c>
      <c r="C108" s="145"/>
      <c r="D108" s="244">
        <f t="shared" si="43"/>
        <v>0</v>
      </c>
      <c r="E108" s="1084" t="s">
        <v>90</v>
      </c>
      <c r="F108" s="1084" t="s">
        <v>90</v>
      </c>
      <c r="G108" s="1084" t="s">
        <v>90</v>
      </c>
      <c r="H108" s="1084" t="s">
        <v>90</v>
      </c>
      <c r="I108" s="1084" t="s">
        <v>90</v>
      </c>
      <c r="J108" s="1084" t="s">
        <v>90</v>
      </c>
      <c r="K108" s="719"/>
      <c r="M108" s="96" t="s">
        <v>87</v>
      </c>
    </row>
    <row r="109" spans="1:13" ht="14.25" x14ac:dyDescent="0.2">
      <c r="A109" s="1077" t="str">
        <f>A$18</f>
        <v>Life (risk)</v>
      </c>
      <c r="B109" s="234">
        <v>5</v>
      </c>
      <c r="C109" s="145"/>
      <c r="D109" s="1079">
        <f t="shared" si="43"/>
        <v>0</v>
      </c>
      <c r="E109" s="1078">
        <f t="shared" ref="E109:J109" si="45">SUM(E110:E111)</f>
        <v>0</v>
      </c>
      <c r="F109" s="1078">
        <f t="shared" si="45"/>
        <v>0</v>
      </c>
      <c r="G109" s="1078">
        <f t="shared" si="45"/>
        <v>0</v>
      </c>
      <c r="H109" s="1078">
        <f t="shared" si="45"/>
        <v>0</v>
      </c>
      <c r="I109" s="1078">
        <f t="shared" si="45"/>
        <v>0</v>
      </c>
      <c r="J109" s="1078">
        <f t="shared" si="45"/>
        <v>0</v>
      </c>
      <c r="K109" s="719"/>
      <c r="M109" s="96" t="s">
        <v>87</v>
      </c>
    </row>
    <row r="110" spans="1:13" ht="14.25" x14ac:dyDescent="0.2">
      <c r="A110" s="1080" t="str">
        <f>A$19</f>
        <v>of which: direct</v>
      </c>
      <c r="B110" s="234">
        <v>6</v>
      </c>
      <c r="C110" s="145"/>
      <c r="D110" s="239">
        <f t="shared" si="43"/>
        <v>0</v>
      </c>
      <c r="E110" s="1081" t="s">
        <v>90</v>
      </c>
      <c r="F110" s="1081" t="s">
        <v>90</v>
      </c>
      <c r="G110" s="1081" t="s">
        <v>90</v>
      </c>
      <c r="H110" s="1081" t="s">
        <v>90</v>
      </c>
      <c r="I110" s="1081" t="s">
        <v>90</v>
      </c>
      <c r="J110" s="1081" t="s">
        <v>90</v>
      </c>
      <c r="K110" s="719"/>
      <c r="M110" s="96" t="s">
        <v>87</v>
      </c>
    </row>
    <row r="111" spans="1:13" ht="14.25" x14ac:dyDescent="0.2">
      <c r="A111" s="1083" t="str">
        <f>A$20</f>
        <v>of which: assumed</v>
      </c>
      <c r="B111" s="234">
        <v>7</v>
      </c>
      <c r="C111" s="145"/>
      <c r="D111" s="244">
        <f t="shared" si="43"/>
        <v>0</v>
      </c>
      <c r="E111" s="1084" t="s">
        <v>90</v>
      </c>
      <c r="F111" s="1084" t="s">
        <v>90</v>
      </c>
      <c r="G111" s="1084" t="s">
        <v>90</v>
      </c>
      <c r="H111" s="1084" t="s">
        <v>90</v>
      </c>
      <c r="I111" s="1084" t="s">
        <v>90</v>
      </c>
      <c r="J111" s="1084" t="s">
        <v>90</v>
      </c>
      <c r="K111" s="719"/>
      <c r="M111" s="96" t="s">
        <v>87</v>
      </c>
    </row>
    <row r="112" spans="1:13" ht="14.25" x14ac:dyDescent="0.2">
      <c r="A112" s="1092" t="s">
        <v>1292</v>
      </c>
      <c r="B112" s="261">
        <v>8</v>
      </c>
      <c r="C112" s="145"/>
      <c r="D112" s="565">
        <f t="shared" si="43"/>
        <v>0</v>
      </c>
      <c r="E112" s="144" t="s">
        <v>90</v>
      </c>
      <c r="F112" s="144" t="s">
        <v>90</v>
      </c>
      <c r="G112" s="144" t="s">
        <v>90</v>
      </c>
      <c r="H112" s="144" t="s">
        <v>90</v>
      </c>
      <c r="I112" s="144" t="s">
        <v>90</v>
      </c>
      <c r="J112" s="144" t="s">
        <v>90</v>
      </c>
      <c r="K112" s="719"/>
      <c r="M112" s="96" t="s">
        <v>87</v>
      </c>
    </row>
    <row r="113" spans="1:13" ht="7.5" customHeight="1" x14ac:dyDescent="0.2">
      <c r="B113" s="719"/>
      <c r="D113" s="719"/>
      <c r="E113" s="719"/>
      <c r="F113" s="719"/>
      <c r="G113" s="719"/>
      <c r="H113" s="719"/>
      <c r="I113" s="719"/>
      <c r="J113" s="719"/>
      <c r="K113" s="719"/>
      <c r="M113" s="96" t="s">
        <v>87</v>
      </c>
    </row>
    <row r="114" spans="1:13" ht="14.25" x14ac:dyDescent="0.2">
      <c r="A114" s="719"/>
      <c r="B114" s="104">
        <v>132</v>
      </c>
      <c r="C114" s="167"/>
      <c r="D114" s="167" t="s">
        <v>1295</v>
      </c>
      <c r="E114" s="167">
        <v>3</v>
      </c>
      <c r="F114" s="167">
        <v>4</v>
      </c>
      <c r="G114" s="167">
        <v>5</v>
      </c>
      <c r="H114" s="167">
        <v>6</v>
      </c>
      <c r="I114" s="167">
        <v>7</v>
      </c>
      <c r="J114" s="214">
        <v>8</v>
      </c>
      <c r="K114" s="719"/>
      <c r="M114" s="96" t="s">
        <v>87</v>
      </c>
    </row>
    <row r="115" spans="1:13" ht="25.5" x14ac:dyDescent="0.2">
      <c r="A115" s="1075" t="s">
        <v>1310</v>
      </c>
      <c r="B115" s="234">
        <v>1</v>
      </c>
      <c r="C115" s="224"/>
      <c r="D115" s="565">
        <f>SUM(D116,D119,D122)</f>
        <v>0</v>
      </c>
      <c r="E115" s="565">
        <f t="shared" ref="E115:J115" si="46">SUM(E116,E119,E122)</f>
        <v>0</v>
      </c>
      <c r="F115" s="565">
        <f t="shared" si="46"/>
        <v>0</v>
      </c>
      <c r="G115" s="565">
        <f t="shared" si="46"/>
        <v>0</v>
      </c>
      <c r="H115" s="565">
        <f t="shared" si="46"/>
        <v>0</v>
      </c>
      <c r="I115" s="565">
        <f t="shared" si="46"/>
        <v>0</v>
      </c>
      <c r="J115" s="565">
        <f t="shared" si="46"/>
        <v>0</v>
      </c>
      <c r="K115" s="719"/>
      <c r="M115" s="96" t="s">
        <v>87</v>
      </c>
    </row>
    <row r="116" spans="1:13" ht="14.25" x14ac:dyDescent="0.2">
      <c r="A116" s="1077" t="str">
        <f>A$15</f>
        <v>Non-life</v>
      </c>
      <c r="B116" s="234">
        <v>2</v>
      </c>
      <c r="C116" s="145"/>
      <c r="D116" s="1079">
        <f t="shared" ref="D116:D122" si="47">SUM(E116:J116)</f>
        <v>0</v>
      </c>
      <c r="E116" s="1078">
        <f t="shared" ref="E116:J116" si="48">SUM(E117:E118)</f>
        <v>0</v>
      </c>
      <c r="F116" s="1078">
        <f t="shared" si="48"/>
        <v>0</v>
      </c>
      <c r="G116" s="1078">
        <f t="shared" si="48"/>
        <v>0</v>
      </c>
      <c r="H116" s="1078">
        <f t="shared" si="48"/>
        <v>0</v>
      </c>
      <c r="I116" s="1078">
        <f t="shared" si="48"/>
        <v>0</v>
      </c>
      <c r="J116" s="1078">
        <f t="shared" si="48"/>
        <v>0</v>
      </c>
      <c r="K116" s="719"/>
      <c r="M116" s="96" t="s">
        <v>87</v>
      </c>
    </row>
    <row r="117" spans="1:13" ht="14.25" x14ac:dyDescent="0.2">
      <c r="A117" s="1080" t="str">
        <f>A$16</f>
        <v>of which: direct</v>
      </c>
      <c r="B117" s="234">
        <v>3</v>
      </c>
      <c r="C117" s="145"/>
      <c r="D117" s="239">
        <f t="shared" si="47"/>
        <v>0</v>
      </c>
      <c r="E117" s="1081" t="s">
        <v>90</v>
      </c>
      <c r="F117" s="1081" t="s">
        <v>90</v>
      </c>
      <c r="G117" s="1081" t="s">
        <v>90</v>
      </c>
      <c r="H117" s="1081" t="s">
        <v>90</v>
      </c>
      <c r="I117" s="1081" t="s">
        <v>90</v>
      </c>
      <c r="J117" s="1081" t="s">
        <v>90</v>
      </c>
      <c r="K117" s="719"/>
      <c r="M117" s="96" t="s">
        <v>87</v>
      </c>
    </row>
    <row r="118" spans="1:13" ht="14.25" x14ac:dyDescent="0.2">
      <c r="A118" s="1083" t="str">
        <f>A$17</f>
        <v>of which: assumed</v>
      </c>
      <c r="B118" s="234">
        <v>4</v>
      </c>
      <c r="C118" s="145"/>
      <c r="D118" s="244">
        <f t="shared" si="47"/>
        <v>0</v>
      </c>
      <c r="E118" s="1084" t="s">
        <v>90</v>
      </c>
      <c r="F118" s="1084" t="s">
        <v>90</v>
      </c>
      <c r="G118" s="1084" t="s">
        <v>90</v>
      </c>
      <c r="H118" s="1084" t="s">
        <v>90</v>
      </c>
      <c r="I118" s="1084" t="s">
        <v>90</v>
      </c>
      <c r="J118" s="1084" t="s">
        <v>90</v>
      </c>
      <c r="K118" s="719"/>
      <c r="M118" s="96" t="s">
        <v>87</v>
      </c>
    </row>
    <row r="119" spans="1:13" ht="14.25" x14ac:dyDescent="0.2">
      <c r="A119" s="1077" t="str">
        <f>A$18</f>
        <v>Life (risk)</v>
      </c>
      <c r="B119" s="234">
        <v>5</v>
      </c>
      <c r="C119" s="145"/>
      <c r="D119" s="1079">
        <f t="shared" si="47"/>
        <v>0</v>
      </c>
      <c r="E119" s="1078">
        <f t="shared" ref="E119:J119" si="49">SUM(E120:E121)</f>
        <v>0</v>
      </c>
      <c r="F119" s="1078">
        <f t="shared" si="49"/>
        <v>0</v>
      </c>
      <c r="G119" s="1078">
        <f t="shared" si="49"/>
        <v>0</v>
      </c>
      <c r="H119" s="1078">
        <f t="shared" si="49"/>
        <v>0</v>
      </c>
      <c r="I119" s="1078">
        <f t="shared" si="49"/>
        <v>0</v>
      </c>
      <c r="J119" s="1078">
        <f t="shared" si="49"/>
        <v>0</v>
      </c>
      <c r="K119" s="719"/>
      <c r="M119" s="96" t="s">
        <v>87</v>
      </c>
    </row>
    <row r="120" spans="1:13" ht="14.25" x14ac:dyDescent="0.2">
      <c r="A120" s="1080" t="str">
        <f>A$19</f>
        <v>of which: direct</v>
      </c>
      <c r="B120" s="234">
        <v>6</v>
      </c>
      <c r="C120" s="145"/>
      <c r="D120" s="239">
        <f t="shared" si="47"/>
        <v>0</v>
      </c>
      <c r="E120" s="1081" t="s">
        <v>90</v>
      </c>
      <c r="F120" s="1081" t="s">
        <v>90</v>
      </c>
      <c r="G120" s="1081" t="s">
        <v>90</v>
      </c>
      <c r="H120" s="1081" t="s">
        <v>90</v>
      </c>
      <c r="I120" s="1081" t="s">
        <v>90</v>
      </c>
      <c r="J120" s="1081" t="s">
        <v>90</v>
      </c>
      <c r="K120" s="719"/>
      <c r="M120" s="96" t="s">
        <v>87</v>
      </c>
    </row>
    <row r="121" spans="1:13" ht="14.25" x14ac:dyDescent="0.2">
      <c r="A121" s="1083" t="str">
        <f>A$20</f>
        <v>of which: assumed</v>
      </c>
      <c r="B121" s="234">
        <v>7</v>
      </c>
      <c r="C121" s="145"/>
      <c r="D121" s="244">
        <f t="shared" si="47"/>
        <v>0</v>
      </c>
      <c r="E121" s="1084" t="s">
        <v>90</v>
      </c>
      <c r="F121" s="1084" t="s">
        <v>90</v>
      </c>
      <c r="G121" s="1084" t="s">
        <v>90</v>
      </c>
      <c r="H121" s="1084" t="s">
        <v>90</v>
      </c>
      <c r="I121" s="1084" t="s">
        <v>90</v>
      </c>
      <c r="J121" s="1084" t="s">
        <v>90</v>
      </c>
      <c r="K121" s="719"/>
      <c r="M121" s="96" t="s">
        <v>87</v>
      </c>
    </row>
    <row r="122" spans="1:13" ht="14.25" x14ac:dyDescent="0.2">
      <c r="A122" s="1093" t="s">
        <v>1292</v>
      </c>
      <c r="B122" s="261">
        <v>8</v>
      </c>
      <c r="C122" s="262"/>
      <c r="D122" s="565">
        <f t="shared" si="47"/>
        <v>0</v>
      </c>
      <c r="E122" s="144" t="s">
        <v>90</v>
      </c>
      <c r="F122" s="144" t="s">
        <v>90</v>
      </c>
      <c r="G122" s="144" t="s">
        <v>90</v>
      </c>
      <c r="H122" s="144" t="s">
        <v>90</v>
      </c>
      <c r="I122" s="144" t="s">
        <v>90</v>
      </c>
      <c r="J122" s="144" t="s">
        <v>90</v>
      </c>
      <c r="K122" s="719"/>
      <c r="M122" s="96" t="s">
        <v>87</v>
      </c>
    </row>
    <row r="123" spans="1:13" ht="6.75" customHeight="1" x14ac:dyDescent="0.2">
      <c r="A123" s="719"/>
      <c r="B123" s="719"/>
      <c r="E123" s="719"/>
      <c r="F123" s="719"/>
      <c r="G123" s="719"/>
      <c r="H123" s="719"/>
      <c r="I123" s="719"/>
      <c r="J123" s="719"/>
      <c r="K123" s="719"/>
      <c r="M123" s="96" t="s">
        <v>87</v>
      </c>
    </row>
    <row r="124" spans="1:13" ht="14.25" x14ac:dyDescent="0.2">
      <c r="A124" s="719"/>
      <c r="B124" s="719"/>
      <c r="E124" s="719"/>
      <c r="F124" s="719"/>
      <c r="G124" s="719"/>
      <c r="H124" s="719"/>
      <c r="I124" s="719"/>
      <c r="J124" s="719"/>
      <c r="K124" s="719"/>
      <c r="M124" s="96" t="s">
        <v>87</v>
      </c>
    </row>
    <row r="125" spans="1:13" ht="14.25" x14ac:dyDescent="0.2">
      <c r="A125" s="719"/>
      <c r="B125" s="719"/>
      <c r="E125" s="719"/>
      <c r="F125" s="719"/>
      <c r="G125" s="719"/>
      <c r="H125" s="719"/>
      <c r="I125" s="719"/>
      <c r="J125" s="719"/>
      <c r="K125" s="719"/>
      <c r="M125" s="96" t="s">
        <v>87</v>
      </c>
    </row>
    <row r="126" spans="1:13" ht="25.5" x14ac:dyDescent="0.2">
      <c r="A126" s="1094" t="s">
        <v>1311</v>
      </c>
      <c r="B126" s="1095"/>
      <c r="C126" s="1096"/>
      <c r="E126" s="719"/>
      <c r="F126" s="719"/>
      <c r="G126" s="719"/>
      <c r="H126" s="719"/>
      <c r="I126" s="719"/>
      <c r="J126" s="719"/>
      <c r="K126" s="719"/>
      <c r="M126" s="96" t="s">
        <v>87</v>
      </c>
    </row>
    <row r="127" spans="1:13" ht="14.25" x14ac:dyDescent="0.2">
      <c r="A127" s="493">
        <v>1</v>
      </c>
      <c r="B127" s="972">
        <v>133</v>
      </c>
      <c r="C127" s="214">
        <v>2</v>
      </c>
      <c r="F127" s="719"/>
      <c r="G127" s="719"/>
      <c r="H127" s="719"/>
      <c r="I127" s="719"/>
      <c r="J127" s="719"/>
      <c r="K127" s="719"/>
      <c r="M127" s="96" t="s">
        <v>87</v>
      </c>
    </row>
    <row r="128" spans="1:13" ht="14.25" x14ac:dyDescent="0.2">
      <c r="A128" s="146" t="s">
        <v>370</v>
      </c>
      <c r="B128" s="234">
        <v>1</v>
      </c>
      <c r="C128" s="1079">
        <f>SUM(C129:C148)</f>
        <v>0</v>
      </c>
      <c r="D128" s="719"/>
      <c r="F128" s="719"/>
      <c r="G128" s="719"/>
      <c r="H128" s="719"/>
      <c r="I128" s="719"/>
      <c r="J128" s="719"/>
      <c r="K128" s="719"/>
      <c r="M128" s="96" t="s">
        <v>87</v>
      </c>
    </row>
    <row r="129" spans="1:13" ht="14.25" x14ac:dyDescent="0.2">
      <c r="A129" s="1097" t="s">
        <v>1312</v>
      </c>
      <c r="B129" s="234">
        <v>2</v>
      </c>
      <c r="C129" s="1081" t="s">
        <v>90</v>
      </c>
      <c r="D129" s="719"/>
      <c r="F129" s="719"/>
      <c r="G129" s="719"/>
      <c r="H129" s="719"/>
      <c r="I129" s="719"/>
      <c r="J129" s="719"/>
      <c r="K129" s="719"/>
      <c r="M129" s="96" t="s">
        <v>87</v>
      </c>
    </row>
    <row r="130" spans="1:13" ht="14.25" x14ac:dyDescent="0.2">
      <c r="A130" s="1097" t="s">
        <v>1313</v>
      </c>
      <c r="B130" s="234">
        <v>3</v>
      </c>
      <c r="C130" s="1081" t="s">
        <v>90</v>
      </c>
      <c r="D130" s="719"/>
      <c r="F130" s="719"/>
      <c r="G130" s="719"/>
      <c r="H130" s="719"/>
      <c r="I130" s="719"/>
      <c r="J130" s="719"/>
      <c r="K130" s="719"/>
      <c r="M130" s="96" t="s">
        <v>87</v>
      </c>
    </row>
    <row r="131" spans="1:13" ht="14.25" x14ac:dyDescent="0.2">
      <c r="A131" s="1097" t="s">
        <v>1314</v>
      </c>
      <c r="B131" s="234">
        <v>4</v>
      </c>
      <c r="C131" s="1081" t="s">
        <v>90</v>
      </c>
      <c r="D131" s="719"/>
      <c r="F131" s="719"/>
      <c r="G131" s="719"/>
      <c r="H131" s="719"/>
      <c r="I131" s="719"/>
      <c r="J131" s="719"/>
      <c r="K131" s="719"/>
      <c r="M131" s="96" t="s">
        <v>87</v>
      </c>
    </row>
    <row r="132" spans="1:13" ht="14.25" x14ac:dyDescent="0.2">
      <c r="A132" s="1097" t="s">
        <v>1315</v>
      </c>
      <c r="B132" s="234">
        <v>5</v>
      </c>
      <c r="C132" s="1081" t="s">
        <v>90</v>
      </c>
      <c r="D132" s="719"/>
      <c r="F132" s="719"/>
      <c r="G132" s="719"/>
      <c r="H132" s="719"/>
      <c r="I132" s="719"/>
      <c r="J132" s="719"/>
      <c r="K132" s="719"/>
      <c r="M132" s="96" t="s">
        <v>87</v>
      </c>
    </row>
    <row r="133" spans="1:13" ht="14.25" x14ac:dyDescent="0.2">
      <c r="A133" s="1097" t="s">
        <v>1316</v>
      </c>
      <c r="B133" s="234">
        <v>6</v>
      </c>
      <c r="C133" s="1081" t="s">
        <v>90</v>
      </c>
      <c r="D133" s="719"/>
      <c r="F133" s="719"/>
      <c r="G133" s="719"/>
      <c r="H133" s="719"/>
      <c r="I133" s="719"/>
      <c r="J133" s="719"/>
      <c r="K133" s="719"/>
      <c r="M133" s="96" t="s">
        <v>87</v>
      </c>
    </row>
    <row r="134" spans="1:13" ht="14.25" x14ac:dyDescent="0.2">
      <c r="A134" s="1097" t="s">
        <v>1317</v>
      </c>
      <c r="B134" s="234">
        <v>7</v>
      </c>
      <c r="C134" s="1081" t="s">
        <v>90</v>
      </c>
      <c r="D134" s="719"/>
      <c r="F134" s="719"/>
      <c r="G134" s="719"/>
      <c r="H134" s="719"/>
      <c r="I134" s="719"/>
      <c r="J134" s="719"/>
      <c r="K134" s="719"/>
      <c r="M134" s="96" t="s">
        <v>87</v>
      </c>
    </row>
    <row r="135" spans="1:13" ht="14.25" x14ac:dyDescent="0.2">
      <c r="A135" s="1097" t="s">
        <v>1318</v>
      </c>
      <c r="B135" s="234">
        <v>8</v>
      </c>
      <c r="C135" s="1081" t="s">
        <v>90</v>
      </c>
      <c r="D135" s="719"/>
      <c r="F135" s="719"/>
      <c r="G135" s="719"/>
      <c r="H135" s="719"/>
      <c r="I135" s="719"/>
      <c r="J135" s="719"/>
      <c r="K135" s="719"/>
      <c r="M135" s="96" t="s">
        <v>87</v>
      </c>
    </row>
    <row r="136" spans="1:13" ht="14.25" x14ac:dyDescent="0.2">
      <c r="A136" s="1097" t="s">
        <v>1319</v>
      </c>
      <c r="B136" s="234">
        <v>9</v>
      </c>
      <c r="C136" s="1081" t="s">
        <v>90</v>
      </c>
      <c r="D136" s="719"/>
      <c r="F136" s="719"/>
      <c r="G136" s="719"/>
      <c r="H136" s="719"/>
      <c r="I136" s="719"/>
      <c r="J136" s="719"/>
      <c r="K136" s="719"/>
      <c r="M136" s="96" t="s">
        <v>87</v>
      </c>
    </row>
    <row r="137" spans="1:13" ht="14.25" x14ac:dyDescent="0.2">
      <c r="A137" s="1097" t="s">
        <v>1320</v>
      </c>
      <c r="B137" s="234">
        <v>10</v>
      </c>
      <c r="C137" s="1081" t="s">
        <v>90</v>
      </c>
      <c r="D137" s="719"/>
      <c r="F137" s="719"/>
      <c r="G137" s="719"/>
      <c r="H137" s="719"/>
      <c r="I137" s="719"/>
      <c r="J137" s="719"/>
      <c r="K137" s="719"/>
      <c r="M137" s="96" t="s">
        <v>87</v>
      </c>
    </row>
    <row r="138" spans="1:13" ht="14.25" x14ac:dyDescent="0.2">
      <c r="A138" s="1097" t="s">
        <v>1321</v>
      </c>
      <c r="B138" s="234">
        <v>11</v>
      </c>
      <c r="C138" s="1081" t="s">
        <v>90</v>
      </c>
      <c r="D138" s="719"/>
      <c r="F138" s="719"/>
      <c r="G138" s="719"/>
      <c r="H138" s="719"/>
      <c r="I138" s="719"/>
      <c r="J138" s="719"/>
      <c r="K138" s="719"/>
      <c r="M138" s="96" t="s">
        <v>87</v>
      </c>
    </row>
    <row r="139" spans="1:13" ht="14.25" x14ac:dyDescent="0.2">
      <c r="A139" s="1097" t="s">
        <v>1322</v>
      </c>
      <c r="B139" s="234">
        <v>12</v>
      </c>
      <c r="C139" s="1081" t="s">
        <v>90</v>
      </c>
      <c r="D139" s="719"/>
      <c r="F139" s="719"/>
      <c r="G139" s="719"/>
      <c r="H139" s="719"/>
      <c r="I139" s="719"/>
      <c r="J139" s="719"/>
      <c r="K139" s="719"/>
      <c r="M139" s="96" t="s">
        <v>87</v>
      </c>
    </row>
    <row r="140" spans="1:13" ht="14.25" x14ac:dyDescent="0.2">
      <c r="A140" s="1097" t="s">
        <v>1323</v>
      </c>
      <c r="B140" s="234">
        <v>13</v>
      </c>
      <c r="C140" s="1081" t="s">
        <v>90</v>
      </c>
      <c r="D140" s="719"/>
      <c r="F140" s="719"/>
      <c r="G140" s="719"/>
      <c r="H140" s="719"/>
      <c r="I140" s="719"/>
      <c r="J140" s="719"/>
      <c r="K140" s="719"/>
      <c r="M140" s="96" t="s">
        <v>87</v>
      </c>
    </row>
    <row r="141" spans="1:13" ht="14.25" x14ac:dyDescent="0.2">
      <c r="A141" s="1097" t="s">
        <v>1324</v>
      </c>
      <c r="B141" s="234">
        <v>14</v>
      </c>
      <c r="C141" s="1081" t="s">
        <v>90</v>
      </c>
      <c r="D141" s="719"/>
      <c r="F141" s="719"/>
      <c r="G141" s="719"/>
      <c r="H141" s="719"/>
      <c r="I141" s="719"/>
      <c r="J141" s="719"/>
      <c r="K141" s="719"/>
      <c r="M141" s="96" t="s">
        <v>87</v>
      </c>
    </row>
    <row r="142" spans="1:13" ht="14.25" x14ac:dyDescent="0.2">
      <c r="A142" s="1097" t="s">
        <v>1325</v>
      </c>
      <c r="B142" s="234">
        <v>15</v>
      </c>
      <c r="C142" s="1081" t="s">
        <v>90</v>
      </c>
      <c r="D142" s="719"/>
      <c r="F142" s="719"/>
      <c r="G142" s="719"/>
      <c r="H142" s="719"/>
      <c r="I142" s="719"/>
      <c r="J142" s="719"/>
      <c r="K142" s="719"/>
      <c r="M142" s="96" t="s">
        <v>87</v>
      </c>
    </row>
    <row r="143" spans="1:13" ht="14.25" x14ac:dyDescent="0.2">
      <c r="A143" s="1097" t="s">
        <v>1326</v>
      </c>
      <c r="B143" s="234">
        <v>16</v>
      </c>
      <c r="C143" s="1081" t="s">
        <v>90</v>
      </c>
      <c r="D143" s="719"/>
      <c r="F143" s="719"/>
      <c r="G143" s="719"/>
      <c r="H143" s="719"/>
      <c r="I143" s="719"/>
      <c r="J143" s="719"/>
      <c r="K143" s="719"/>
      <c r="M143" s="96" t="s">
        <v>87</v>
      </c>
    </row>
    <row r="144" spans="1:13" ht="14.25" x14ac:dyDescent="0.2">
      <c r="A144" s="1097" t="s">
        <v>1327</v>
      </c>
      <c r="B144" s="234">
        <v>17</v>
      </c>
      <c r="C144" s="1081" t="s">
        <v>90</v>
      </c>
      <c r="F144" s="719"/>
      <c r="G144" s="719"/>
      <c r="H144" s="719"/>
      <c r="I144" s="719"/>
      <c r="J144" s="719"/>
      <c r="K144" s="719"/>
      <c r="M144" s="96" t="s">
        <v>87</v>
      </c>
    </row>
    <row r="145" spans="1:13" ht="14.25" x14ac:dyDescent="0.2">
      <c r="A145" s="1097" t="s">
        <v>1328</v>
      </c>
      <c r="B145" s="234">
        <v>18</v>
      </c>
      <c r="C145" s="1081" t="s">
        <v>90</v>
      </c>
      <c r="F145" s="719"/>
      <c r="G145" s="719"/>
      <c r="H145" s="719"/>
      <c r="I145" s="719"/>
      <c r="J145" s="719"/>
      <c r="K145" s="719"/>
      <c r="M145" s="96" t="s">
        <v>87</v>
      </c>
    </row>
    <row r="146" spans="1:13" ht="14.25" x14ac:dyDescent="0.2">
      <c r="A146" s="1097" t="s">
        <v>1329</v>
      </c>
      <c r="B146" s="234">
        <v>19</v>
      </c>
      <c r="C146" s="1081" t="s">
        <v>90</v>
      </c>
      <c r="F146" s="719"/>
      <c r="G146" s="719"/>
      <c r="H146" s="719"/>
      <c r="I146" s="719"/>
      <c r="J146" s="719"/>
      <c r="K146" s="719"/>
      <c r="M146" s="96" t="s">
        <v>87</v>
      </c>
    </row>
    <row r="147" spans="1:13" ht="14.25" x14ac:dyDescent="0.2">
      <c r="A147" s="1097" t="s">
        <v>1330</v>
      </c>
      <c r="B147" s="234">
        <v>20</v>
      </c>
      <c r="C147" s="1081" t="s">
        <v>90</v>
      </c>
      <c r="F147" s="719"/>
      <c r="G147" s="719"/>
      <c r="H147" s="719"/>
      <c r="I147" s="719"/>
      <c r="J147" s="719"/>
      <c r="K147" s="719"/>
      <c r="M147" s="96" t="s">
        <v>87</v>
      </c>
    </row>
    <row r="148" spans="1:13" ht="14.25" x14ac:dyDescent="0.2">
      <c r="A148" s="1098" t="s">
        <v>1331</v>
      </c>
      <c r="B148" s="261">
        <v>21</v>
      </c>
      <c r="C148" s="1084" t="s">
        <v>90</v>
      </c>
      <c r="F148" s="719"/>
      <c r="G148" s="719"/>
      <c r="H148" s="719"/>
      <c r="I148" s="719"/>
      <c r="J148" s="719"/>
      <c r="K148" s="719"/>
      <c r="M148" s="96" t="s">
        <v>87</v>
      </c>
    </row>
    <row r="149" spans="1:13" ht="14.25" x14ac:dyDescent="0.2">
      <c r="F149" s="719"/>
      <c r="G149" s="719"/>
      <c r="H149" s="719"/>
      <c r="I149" s="719"/>
      <c r="J149" s="719"/>
      <c r="K149" s="719"/>
      <c r="M149" s="96" t="s">
        <v>87</v>
      </c>
    </row>
    <row r="150" spans="1:13" ht="14.25" x14ac:dyDescent="0.2">
      <c r="A150" s="96" t="s">
        <v>87</v>
      </c>
      <c r="B150" s="96" t="s">
        <v>87</v>
      </c>
      <c r="C150" s="96" t="s">
        <v>87</v>
      </c>
      <c r="D150" s="96" t="s">
        <v>87</v>
      </c>
      <c r="E150" s="96" t="s">
        <v>87</v>
      </c>
      <c r="F150" s="96" t="s">
        <v>87</v>
      </c>
      <c r="G150" s="96" t="s">
        <v>87</v>
      </c>
      <c r="H150" s="96" t="s">
        <v>87</v>
      </c>
      <c r="I150" s="96" t="s">
        <v>87</v>
      </c>
      <c r="J150" s="96" t="s">
        <v>87</v>
      </c>
      <c r="K150" s="96" t="s">
        <v>87</v>
      </c>
      <c r="L150" s="96" t="s">
        <v>87</v>
      </c>
      <c r="M150" s="96" t="s">
        <v>87</v>
      </c>
    </row>
  </sheetData>
  <mergeCells count="1">
    <mergeCell ref="C11:C12"/>
  </mergeCells>
  <pageMargins left="0.23622047244094491" right="0.23622047244094491" top="0.55118110236220474" bottom="0.55118110236220474" header="0.31496062992125984" footer="0.31496062992125984"/>
  <pageSetup paperSize="9" orientation="landscape" horizontalDpi="1200" verticalDpi="1200" r:id="rId1"/>
  <headerFooter>
    <oddFooter>&amp;A&amp;RPage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FF00"/>
  </sheetPr>
  <dimension ref="A1:I155"/>
  <sheetViews>
    <sheetView showGridLines="0" zoomScaleNormal="100" workbookViewId="0">
      <selection activeCell="A5" sqref="A5"/>
    </sheetView>
  </sheetViews>
  <sheetFormatPr defaultRowHeight="12.75" x14ac:dyDescent="0.2"/>
  <cols>
    <col min="1" max="1" width="14" customWidth="1"/>
    <col min="2" max="2" width="56.85546875" customWidth="1"/>
    <col min="3" max="3" width="4" customWidth="1"/>
    <col min="4" max="6" width="12.28515625" customWidth="1"/>
    <col min="7" max="7" width="26.85546875" customWidth="1"/>
    <col min="8" max="9" width="2.42578125" customWidth="1"/>
    <col min="10" max="10" width="22.42578125" customWidth="1"/>
    <col min="11" max="11" width="30.7109375" customWidth="1"/>
  </cols>
  <sheetData>
    <row r="1" spans="1:9" x14ac:dyDescent="0.2">
      <c r="A1" s="93" t="str">
        <f>FT15.Participant!$A$1</f>
        <v>&lt;IAIG's Name&gt;</v>
      </c>
      <c r="B1" s="94"/>
      <c r="C1" s="94"/>
      <c r="D1" s="94"/>
      <c r="E1" s="94"/>
      <c r="F1" s="94"/>
      <c r="G1" s="95" t="str">
        <f ca="1">HYPERLINK("#"&amp;CELL("address",FT15.IndexSheet),Version)</f>
        <v>2015 IAIS Field Testing Template</v>
      </c>
      <c r="I1" s="699" t="s">
        <v>87</v>
      </c>
    </row>
    <row r="2" spans="1:9" ht="15" x14ac:dyDescent="0.25">
      <c r="A2" s="97" t="str">
        <f>FT15.Participant!$A$2</f>
        <v>&lt;Currency&gt; - (&lt;Unit&gt;)</v>
      </c>
      <c r="B2" s="98" t="s">
        <v>1332</v>
      </c>
      <c r="C2" s="98"/>
      <c r="D2" s="99"/>
      <c r="E2" s="99"/>
      <c r="F2" s="99"/>
      <c r="G2" s="100" t="str">
        <f>FT15.Participant!$E$2</f>
        <v xml:space="preserve">&lt;Reporting Date&gt; - </v>
      </c>
      <c r="I2" s="699" t="s">
        <v>87</v>
      </c>
    </row>
    <row r="3" spans="1:9" x14ac:dyDescent="0.2">
      <c r="A3" s="1099"/>
      <c r="B3" s="1099"/>
      <c r="C3" s="1099"/>
      <c r="D3" s="1099"/>
      <c r="E3" s="1099"/>
      <c r="F3" s="1099"/>
      <c r="G3" s="1099"/>
      <c r="I3" s="699" t="s">
        <v>87</v>
      </c>
    </row>
    <row r="4" spans="1:9" ht="33.75" customHeight="1" x14ac:dyDescent="0.2">
      <c r="A4" s="1533" t="s">
        <v>1333</v>
      </c>
      <c r="B4" s="1533"/>
      <c r="C4" s="1533"/>
      <c r="D4" s="1533"/>
      <c r="E4" s="1533"/>
      <c r="F4" s="1533"/>
      <c r="G4" s="1533"/>
      <c r="I4" s="699" t="s">
        <v>87</v>
      </c>
    </row>
    <row r="5" spans="1:9" x14ac:dyDescent="0.2">
      <c r="A5" s="1100" t="s">
        <v>1334</v>
      </c>
      <c r="B5" s="1099"/>
      <c r="C5" s="1099"/>
      <c r="D5" s="1099"/>
      <c r="E5" s="1099"/>
      <c r="F5" s="1099"/>
      <c r="G5" s="1099"/>
      <c r="I5" s="699" t="s">
        <v>87</v>
      </c>
    </row>
    <row r="6" spans="1:9" ht="15" x14ac:dyDescent="0.25">
      <c r="A6" s="571"/>
      <c r="B6" s="1534" t="s">
        <v>1335</v>
      </c>
      <c r="C6" s="1535"/>
      <c r="D6" s="1531"/>
      <c r="E6" s="1531"/>
      <c r="F6" s="1531"/>
      <c r="G6" s="1532"/>
      <c r="I6" s="699" t="s">
        <v>87</v>
      </c>
    </row>
    <row r="7" spans="1:9" ht="30" customHeight="1" x14ac:dyDescent="0.2">
      <c r="A7" s="1101" t="s">
        <v>1336</v>
      </c>
      <c r="B7" s="873" t="s">
        <v>1337</v>
      </c>
      <c r="C7" s="1102"/>
      <c r="D7" s="1103" t="s">
        <v>1016</v>
      </c>
      <c r="E7" s="1528" t="s">
        <v>1338</v>
      </c>
      <c r="F7" s="1528" t="s">
        <v>990</v>
      </c>
      <c r="G7" s="1528" t="s">
        <v>1339</v>
      </c>
      <c r="I7" s="699" t="s">
        <v>87</v>
      </c>
    </row>
    <row r="8" spans="1:9" ht="30" customHeight="1" x14ac:dyDescent="0.2">
      <c r="A8" s="1104"/>
      <c r="B8" s="146"/>
      <c r="C8" s="125"/>
      <c r="D8" s="305" t="s">
        <v>1019</v>
      </c>
      <c r="E8" s="1529"/>
      <c r="F8" s="1529"/>
      <c r="G8" s="1529"/>
      <c r="I8" s="699" t="s">
        <v>87</v>
      </c>
    </row>
    <row r="9" spans="1:9" x14ac:dyDescent="0.2">
      <c r="A9" s="1105"/>
      <c r="B9" s="586"/>
      <c r="C9" s="124">
        <v>134</v>
      </c>
      <c r="D9" s="167">
        <v>1</v>
      </c>
      <c r="E9" s="167">
        <v>2</v>
      </c>
      <c r="F9" s="167">
        <v>3</v>
      </c>
      <c r="G9" s="214">
        <v>4</v>
      </c>
      <c r="I9" s="699" t="s">
        <v>87</v>
      </c>
    </row>
    <row r="10" spans="1:9" x14ac:dyDescent="0.2">
      <c r="A10" s="1524" t="s">
        <v>1340</v>
      </c>
      <c r="B10" s="1106" t="s">
        <v>263</v>
      </c>
      <c r="C10" s="169">
        <v>1</v>
      </c>
      <c r="D10" s="149" t="s">
        <v>90</v>
      </c>
      <c r="E10" s="149" t="s">
        <v>90</v>
      </c>
      <c r="F10" s="149" t="s">
        <v>90</v>
      </c>
      <c r="G10" s="1107"/>
      <c r="I10" s="699" t="s">
        <v>87</v>
      </c>
    </row>
    <row r="11" spans="1:9" x14ac:dyDescent="0.2">
      <c r="A11" s="1525"/>
      <c r="B11" s="1108" t="s">
        <v>264</v>
      </c>
      <c r="C11" s="169">
        <v>2</v>
      </c>
      <c r="D11" s="137" t="s">
        <v>90</v>
      </c>
      <c r="E11" s="137" t="s">
        <v>90</v>
      </c>
      <c r="F11" s="137" t="s">
        <v>90</v>
      </c>
      <c r="G11" s="1109"/>
      <c r="I11" s="699" t="s">
        <v>87</v>
      </c>
    </row>
    <row r="12" spans="1:9" x14ac:dyDescent="0.2">
      <c r="A12" s="1525"/>
      <c r="B12" s="1108" t="s">
        <v>265</v>
      </c>
      <c r="C12" s="169">
        <v>3</v>
      </c>
      <c r="D12" s="137" t="s">
        <v>90</v>
      </c>
      <c r="E12" s="137" t="s">
        <v>90</v>
      </c>
      <c r="F12" s="137" t="s">
        <v>90</v>
      </c>
      <c r="G12" s="1109"/>
      <c r="I12" s="699" t="s">
        <v>87</v>
      </c>
    </row>
    <row r="13" spans="1:9" x14ac:dyDescent="0.2">
      <c r="A13" s="1525"/>
      <c r="B13" s="1110" t="s">
        <v>1341</v>
      </c>
      <c r="C13" s="169">
        <v>4</v>
      </c>
      <c r="D13" s="137" t="s">
        <v>90</v>
      </c>
      <c r="E13" s="137" t="s">
        <v>90</v>
      </c>
      <c r="F13" s="137" t="s">
        <v>90</v>
      </c>
      <c r="G13" s="1109"/>
      <c r="I13" s="699" t="s">
        <v>87</v>
      </c>
    </row>
    <row r="14" spans="1:9" x14ac:dyDescent="0.2">
      <c r="A14" s="1525"/>
      <c r="B14" s="1108" t="s">
        <v>188</v>
      </c>
      <c r="C14" s="169">
        <v>5</v>
      </c>
      <c r="D14" s="137" t="s">
        <v>90</v>
      </c>
      <c r="E14" s="137" t="s">
        <v>90</v>
      </c>
      <c r="F14" s="137" t="s">
        <v>90</v>
      </c>
      <c r="G14" s="1109"/>
      <c r="I14" s="699" t="s">
        <v>87</v>
      </c>
    </row>
    <row r="15" spans="1:9" x14ac:dyDescent="0.2">
      <c r="A15" s="1525"/>
      <c r="B15" s="1108" t="s">
        <v>186</v>
      </c>
      <c r="C15" s="169">
        <v>6</v>
      </c>
      <c r="D15" s="137" t="s">
        <v>90</v>
      </c>
      <c r="E15" s="137" t="s">
        <v>90</v>
      </c>
      <c r="F15" s="137" t="s">
        <v>90</v>
      </c>
      <c r="G15" s="1109"/>
      <c r="I15" s="699" t="s">
        <v>87</v>
      </c>
    </row>
    <row r="16" spans="1:9" x14ac:dyDescent="0.2">
      <c r="A16" s="1525"/>
      <c r="B16" s="1108" t="s">
        <v>267</v>
      </c>
      <c r="C16" s="169">
        <v>7</v>
      </c>
      <c r="D16" s="137" t="s">
        <v>90</v>
      </c>
      <c r="E16" s="137" t="s">
        <v>90</v>
      </c>
      <c r="F16" s="137" t="s">
        <v>90</v>
      </c>
      <c r="G16" s="1109"/>
      <c r="I16" s="699" t="s">
        <v>87</v>
      </c>
    </row>
    <row r="17" spans="1:9" x14ac:dyDescent="0.2">
      <c r="A17" s="1525"/>
      <c r="B17" s="1108" t="s">
        <v>268</v>
      </c>
      <c r="C17" s="169">
        <v>8</v>
      </c>
      <c r="D17" s="139" t="s">
        <v>90</v>
      </c>
      <c r="E17" s="139" t="s">
        <v>90</v>
      </c>
      <c r="F17" s="139" t="s">
        <v>90</v>
      </c>
      <c r="G17" s="1111"/>
      <c r="I17" s="699" t="s">
        <v>87</v>
      </c>
    </row>
    <row r="18" spans="1:9" x14ac:dyDescent="0.2">
      <c r="A18" s="1526"/>
      <c r="B18" s="1112" t="s">
        <v>1342</v>
      </c>
      <c r="C18" s="169">
        <v>9</v>
      </c>
      <c r="D18" s="285">
        <f>SUM(D10:D17)</f>
        <v>0</v>
      </c>
      <c r="E18" s="285">
        <f>SUM(E10:E17)</f>
        <v>0</v>
      </c>
      <c r="F18" s="285">
        <f>SUM(F10:F17)</f>
        <v>0</v>
      </c>
      <c r="G18" s="1020"/>
      <c r="I18" s="699" t="s">
        <v>87</v>
      </c>
    </row>
    <row r="19" spans="1:9" ht="14.25" customHeight="1" x14ac:dyDescent="0.2">
      <c r="A19" s="1524" t="s">
        <v>1343</v>
      </c>
      <c r="B19" s="1108" t="s">
        <v>263</v>
      </c>
      <c r="C19" s="169">
        <v>10</v>
      </c>
      <c r="D19" s="149" t="s">
        <v>90</v>
      </c>
      <c r="E19" s="149" t="s">
        <v>90</v>
      </c>
      <c r="F19" s="149" t="s">
        <v>90</v>
      </c>
      <c r="G19" s="1107"/>
      <c r="I19" s="699" t="s">
        <v>87</v>
      </c>
    </row>
    <row r="20" spans="1:9" x14ac:dyDescent="0.2">
      <c r="A20" s="1525"/>
      <c r="B20" s="1108" t="s">
        <v>264</v>
      </c>
      <c r="C20" s="169">
        <v>11</v>
      </c>
      <c r="D20" s="137" t="s">
        <v>90</v>
      </c>
      <c r="E20" s="137" t="s">
        <v>90</v>
      </c>
      <c r="F20" s="137" t="s">
        <v>90</v>
      </c>
      <c r="G20" s="1109"/>
      <c r="I20" s="699" t="s">
        <v>87</v>
      </c>
    </row>
    <row r="21" spans="1:9" x14ac:dyDescent="0.2">
      <c r="A21" s="1525"/>
      <c r="B21" s="1108" t="s">
        <v>265</v>
      </c>
      <c r="C21" s="169">
        <v>12</v>
      </c>
      <c r="D21" s="137" t="s">
        <v>90</v>
      </c>
      <c r="E21" s="137" t="s">
        <v>90</v>
      </c>
      <c r="F21" s="137" t="s">
        <v>90</v>
      </c>
      <c r="G21" s="1109"/>
      <c r="I21" s="699" t="s">
        <v>87</v>
      </c>
    </row>
    <row r="22" spans="1:9" x14ac:dyDescent="0.2">
      <c r="A22" s="1525"/>
      <c r="B22" s="1110" t="s">
        <v>1341</v>
      </c>
      <c r="C22" s="169">
        <v>13</v>
      </c>
      <c r="D22" s="137" t="s">
        <v>90</v>
      </c>
      <c r="E22" s="137" t="s">
        <v>90</v>
      </c>
      <c r="F22" s="137" t="s">
        <v>90</v>
      </c>
      <c r="G22" s="1109"/>
      <c r="I22" s="699" t="s">
        <v>87</v>
      </c>
    </row>
    <row r="23" spans="1:9" x14ac:dyDescent="0.2">
      <c r="A23" s="1525"/>
      <c r="B23" s="1108" t="s">
        <v>188</v>
      </c>
      <c r="C23" s="169">
        <v>14</v>
      </c>
      <c r="D23" s="137" t="s">
        <v>90</v>
      </c>
      <c r="E23" s="137" t="s">
        <v>90</v>
      </c>
      <c r="F23" s="137" t="s">
        <v>90</v>
      </c>
      <c r="G23" s="1109"/>
      <c r="I23" s="699" t="s">
        <v>87</v>
      </c>
    </row>
    <row r="24" spans="1:9" x14ac:dyDescent="0.2">
      <c r="A24" s="1525"/>
      <c r="B24" s="1108" t="s">
        <v>186</v>
      </c>
      <c r="C24" s="169">
        <v>15</v>
      </c>
      <c r="D24" s="137" t="s">
        <v>90</v>
      </c>
      <c r="E24" s="137" t="s">
        <v>90</v>
      </c>
      <c r="F24" s="137" t="s">
        <v>90</v>
      </c>
      <c r="G24" s="1109"/>
      <c r="I24" s="699" t="s">
        <v>87</v>
      </c>
    </row>
    <row r="25" spans="1:9" x14ac:dyDescent="0.2">
      <c r="A25" s="1525"/>
      <c r="B25" s="1108" t="s">
        <v>267</v>
      </c>
      <c r="C25" s="169">
        <v>16</v>
      </c>
      <c r="D25" s="137" t="s">
        <v>90</v>
      </c>
      <c r="E25" s="137" t="s">
        <v>90</v>
      </c>
      <c r="F25" s="137" t="s">
        <v>90</v>
      </c>
      <c r="G25" s="1109"/>
      <c r="I25" s="699" t="s">
        <v>87</v>
      </c>
    </row>
    <row r="26" spans="1:9" x14ac:dyDescent="0.2">
      <c r="A26" s="1525"/>
      <c r="B26" s="1108" t="s">
        <v>268</v>
      </c>
      <c r="C26" s="169">
        <v>17</v>
      </c>
      <c r="D26" s="139" t="s">
        <v>90</v>
      </c>
      <c r="E26" s="139" t="s">
        <v>90</v>
      </c>
      <c r="F26" s="139" t="s">
        <v>90</v>
      </c>
      <c r="G26" s="1111"/>
      <c r="I26" s="699" t="s">
        <v>87</v>
      </c>
    </row>
    <row r="27" spans="1:9" x14ac:dyDescent="0.2">
      <c r="A27" s="1526"/>
      <c r="B27" s="1113" t="s">
        <v>1342</v>
      </c>
      <c r="C27" s="169">
        <v>18</v>
      </c>
      <c r="D27" s="285">
        <f>SUM(D19:D26)</f>
        <v>0</v>
      </c>
      <c r="E27" s="285">
        <f>SUM(E19:E26)</f>
        <v>0</v>
      </c>
      <c r="F27" s="285">
        <f>SUM(F19:F26)</f>
        <v>0</v>
      </c>
      <c r="G27" s="1020"/>
      <c r="I27" s="699" t="s">
        <v>87</v>
      </c>
    </row>
    <row r="28" spans="1:9" x14ac:dyDescent="0.2">
      <c r="A28" s="1524" t="s">
        <v>723</v>
      </c>
      <c r="B28" s="1106" t="s">
        <v>263</v>
      </c>
      <c r="C28" s="169">
        <v>19</v>
      </c>
      <c r="D28" s="149" t="s">
        <v>90</v>
      </c>
      <c r="E28" s="149" t="s">
        <v>90</v>
      </c>
      <c r="F28" s="149" t="s">
        <v>90</v>
      </c>
      <c r="G28" s="1107"/>
      <c r="I28" s="699" t="s">
        <v>87</v>
      </c>
    </row>
    <row r="29" spans="1:9" x14ac:dyDescent="0.2">
      <c r="A29" s="1525"/>
      <c r="B29" s="1108" t="s">
        <v>264</v>
      </c>
      <c r="C29" s="169">
        <v>20</v>
      </c>
      <c r="D29" s="137" t="s">
        <v>90</v>
      </c>
      <c r="E29" s="137" t="s">
        <v>90</v>
      </c>
      <c r="F29" s="137" t="s">
        <v>90</v>
      </c>
      <c r="G29" s="1109"/>
      <c r="I29" s="699" t="s">
        <v>87</v>
      </c>
    </row>
    <row r="30" spans="1:9" x14ac:dyDescent="0.2">
      <c r="A30" s="1525"/>
      <c r="B30" s="1108" t="s">
        <v>265</v>
      </c>
      <c r="C30" s="169">
        <v>21</v>
      </c>
      <c r="D30" s="137" t="s">
        <v>90</v>
      </c>
      <c r="E30" s="137" t="s">
        <v>90</v>
      </c>
      <c r="F30" s="137" t="s">
        <v>90</v>
      </c>
      <c r="G30" s="1109"/>
      <c r="I30" s="699" t="s">
        <v>87</v>
      </c>
    </row>
    <row r="31" spans="1:9" x14ac:dyDescent="0.2">
      <c r="A31" s="1525"/>
      <c r="B31" s="1110" t="s">
        <v>1341</v>
      </c>
      <c r="C31" s="169">
        <v>22</v>
      </c>
      <c r="D31" s="137" t="s">
        <v>90</v>
      </c>
      <c r="E31" s="137" t="s">
        <v>90</v>
      </c>
      <c r="F31" s="137" t="s">
        <v>90</v>
      </c>
      <c r="G31" s="1109"/>
      <c r="I31" s="699" t="s">
        <v>87</v>
      </c>
    </row>
    <row r="32" spans="1:9" x14ac:dyDescent="0.2">
      <c r="A32" s="1525"/>
      <c r="B32" s="1108" t="s">
        <v>188</v>
      </c>
      <c r="C32" s="169">
        <v>23</v>
      </c>
      <c r="D32" s="137" t="s">
        <v>90</v>
      </c>
      <c r="E32" s="137" t="s">
        <v>90</v>
      </c>
      <c r="F32" s="137" t="s">
        <v>90</v>
      </c>
      <c r="G32" s="1109"/>
      <c r="I32" s="699" t="s">
        <v>87</v>
      </c>
    </row>
    <row r="33" spans="1:9" x14ac:dyDescent="0.2">
      <c r="A33" s="1525"/>
      <c r="B33" s="1108" t="s">
        <v>186</v>
      </c>
      <c r="C33" s="169">
        <v>24</v>
      </c>
      <c r="D33" s="137" t="s">
        <v>90</v>
      </c>
      <c r="E33" s="137" t="s">
        <v>90</v>
      </c>
      <c r="F33" s="137" t="s">
        <v>90</v>
      </c>
      <c r="G33" s="1109"/>
      <c r="I33" s="699" t="s">
        <v>87</v>
      </c>
    </row>
    <row r="34" spans="1:9" x14ac:dyDescent="0.2">
      <c r="A34" s="1525"/>
      <c r="B34" s="1108" t="s">
        <v>267</v>
      </c>
      <c r="C34" s="169">
        <v>25</v>
      </c>
      <c r="D34" s="137" t="s">
        <v>90</v>
      </c>
      <c r="E34" s="137" t="s">
        <v>90</v>
      </c>
      <c r="F34" s="137" t="s">
        <v>90</v>
      </c>
      <c r="G34" s="1109"/>
      <c r="I34" s="699" t="s">
        <v>87</v>
      </c>
    </row>
    <row r="35" spans="1:9" x14ac:dyDescent="0.2">
      <c r="A35" s="1525"/>
      <c r="B35" s="1108" t="s">
        <v>268</v>
      </c>
      <c r="C35" s="169">
        <v>26</v>
      </c>
      <c r="D35" s="139" t="s">
        <v>90</v>
      </c>
      <c r="E35" s="139" t="s">
        <v>90</v>
      </c>
      <c r="F35" s="139" t="s">
        <v>90</v>
      </c>
      <c r="G35" s="1111"/>
      <c r="I35" s="699" t="s">
        <v>87</v>
      </c>
    </row>
    <row r="36" spans="1:9" x14ac:dyDescent="0.2">
      <c r="A36" s="1526"/>
      <c r="B36" s="1112" t="s">
        <v>1342</v>
      </c>
      <c r="C36" s="169">
        <v>27</v>
      </c>
      <c r="D36" s="285">
        <f>SUM(D28:D35)</f>
        <v>0</v>
      </c>
      <c r="E36" s="285">
        <f>SUM(E28:E35)</f>
        <v>0</v>
      </c>
      <c r="F36" s="285">
        <f>SUM(F28:F35)</f>
        <v>0</v>
      </c>
      <c r="G36" s="1020"/>
      <c r="I36" s="699" t="s">
        <v>87</v>
      </c>
    </row>
    <row r="37" spans="1:9" x14ac:dyDescent="0.2">
      <c r="A37" s="1524" t="s">
        <v>724</v>
      </c>
      <c r="B37" s="1108" t="s">
        <v>263</v>
      </c>
      <c r="C37" s="169">
        <v>28</v>
      </c>
      <c r="D37" s="149" t="s">
        <v>90</v>
      </c>
      <c r="E37" s="149" t="s">
        <v>90</v>
      </c>
      <c r="F37" s="149" t="s">
        <v>90</v>
      </c>
      <c r="G37" s="1107"/>
      <c r="I37" s="699" t="s">
        <v>87</v>
      </c>
    </row>
    <row r="38" spans="1:9" x14ac:dyDescent="0.2">
      <c r="A38" s="1525"/>
      <c r="B38" s="1108" t="s">
        <v>264</v>
      </c>
      <c r="C38" s="169">
        <v>29</v>
      </c>
      <c r="D38" s="137" t="s">
        <v>90</v>
      </c>
      <c r="E38" s="137" t="s">
        <v>90</v>
      </c>
      <c r="F38" s="137" t="s">
        <v>90</v>
      </c>
      <c r="G38" s="1109"/>
      <c r="I38" s="699" t="s">
        <v>87</v>
      </c>
    </row>
    <row r="39" spans="1:9" x14ac:dyDescent="0.2">
      <c r="A39" s="1525"/>
      <c r="B39" s="1108" t="s">
        <v>265</v>
      </c>
      <c r="C39" s="169">
        <v>30</v>
      </c>
      <c r="D39" s="137" t="s">
        <v>90</v>
      </c>
      <c r="E39" s="137" t="s">
        <v>90</v>
      </c>
      <c r="F39" s="137" t="s">
        <v>90</v>
      </c>
      <c r="G39" s="1109"/>
      <c r="I39" s="699" t="s">
        <v>87</v>
      </c>
    </row>
    <row r="40" spans="1:9" x14ac:dyDescent="0.2">
      <c r="A40" s="1525"/>
      <c r="B40" s="1110" t="s">
        <v>1341</v>
      </c>
      <c r="C40" s="169">
        <v>31</v>
      </c>
      <c r="D40" s="137" t="s">
        <v>90</v>
      </c>
      <c r="E40" s="137" t="s">
        <v>90</v>
      </c>
      <c r="F40" s="137" t="s">
        <v>90</v>
      </c>
      <c r="G40" s="1109"/>
      <c r="I40" s="699" t="s">
        <v>87</v>
      </c>
    </row>
    <row r="41" spans="1:9" x14ac:dyDescent="0.2">
      <c r="A41" s="1525"/>
      <c r="B41" s="1108" t="s">
        <v>188</v>
      </c>
      <c r="C41" s="169">
        <v>32</v>
      </c>
      <c r="D41" s="137" t="s">
        <v>90</v>
      </c>
      <c r="E41" s="137" t="s">
        <v>90</v>
      </c>
      <c r="F41" s="137" t="s">
        <v>90</v>
      </c>
      <c r="G41" s="1109"/>
      <c r="I41" s="699" t="s">
        <v>87</v>
      </c>
    </row>
    <row r="42" spans="1:9" x14ac:dyDescent="0.2">
      <c r="A42" s="1525"/>
      <c r="B42" s="1108" t="s">
        <v>186</v>
      </c>
      <c r="C42" s="169">
        <v>33</v>
      </c>
      <c r="D42" s="137" t="s">
        <v>90</v>
      </c>
      <c r="E42" s="137" t="s">
        <v>90</v>
      </c>
      <c r="F42" s="137" t="s">
        <v>90</v>
      </c>
      <c r="G42" s="1109"/>
      <c r="I42" s="699" t="s">
        <v>87</v>
      </c>
    </row>
    <row r="43" spans="1:9" x14ac:dyDescent="0.2">
      <c r="A43" s="1525"/>
      <c r="B43" s="1108" t="s">
        <v>267</v>
      </c>
      <c r="C43" s="169">
        <v>34</v>
      </c>
      <c r="D43" s="137" t="s">
        <v>90</v>
      </c>
      <c r="E43" s="137" t="s">
        <v>90</v>
      </c>
      <c r="F43" s="137" t="s">
        <v>90</v>
      </c>
      <c r="G43" s="1109"/>
      <c r="I43" s="699" t="s">
        <v>87</v>
      </c>
    </row>
    <row r="44" spans="1:9" x14ac:dyDescent="0.2">
      <c r="A44" s="1525"/>
      <c r="B44" s="1108" t="s">
        <v>268</v>
      </c>
      <c r="C44" s="169">
        <v>35</v>
      </c>
      <c r="D44" s="139" t="s">
        <v>90</v>
      </c>
      <c r="E44" s="139" t="s">
        <v>90</v>
      </c>
      <c r="F44" s="139" t="s">
        <v>90</v>
      </c>
      <c r="G44" s="1111"/>
      <c r="I44" s="699" t="s">
        <v>87</v>
      </c>
    </row>
    <row r="45" spans="1:9" x14ac:dyDescent="0.2">
      <c r="A45" s="1526"/>
      <c r="B45" s="1113" t="s">
        <v>1342</v>
      </c>
      <c r="C45" s="169">
        <v>36</v>
      </c>
      <c r="D45" s="285">
        <f>SUM(D37:D44)</f>
        <v>0</v>
      </c>
      <c r="E45" s="285">
        <f>SUM(E37:E44)</f>
        <v>0</v>
      </c>
      <c r="F45" s="285">
        <f>SUM(F37:F44)</f>
        <v>0</v>
      </c>
      <c r="G45" s="1020"/>
      <c r="I45" s="699" t="s">
        <v>87</v>
      </c>
    </row>
    <row r="46" spans="1:9" ht="14.25" customHeight="1" x14ac:dyDescent="0.2">
      <c r="A46" s="1524" t="s">
        <v>725</v>
      </c>
      <c r="B46" s="1106" t="s">
        <v>263</v>
      </c>
      <c r="C46" s="169">
        <v>37</v>
      </c>
      <c r="D46" s="149" t="s">
        <v>90</v>
      </c>
      <c r="E46" s="149" t="s">
        <v>90</v>
      </c>
      <c r="F46" s="149" t="s">
        <v>90</v>
      </c>
      <c r="G46" s="1107"/>
      <c r="I46" s="699" t="s">
        <v>87</v>
      </c>
    </row>
    <row r="47" spans="1:9" x14ac:dyDescent="0.2">
      <c r="A47" s="1525"/>
      <c r="B47" s="1108" t="s">
        <v>264</v>
      </c>
      <c r="C47" s="169">
        <v>38</v>
      </c>
      <c r="D47" s="137" t="s">
        <v>90</v>
      </c>
      <c r="E47" s="137" t="s">
        <v>90</v>
      </c>
      <c r="F47" s="137" t="s">
        <v>90</v>
      </c>
      <c r="G47" s="1109"/>
      <c r="I47" s="699" t="s">
        <v>87</v>
      </c>
    </row>
    <row r="48" spans="1:9" x14ac:dyDescent="0.2">
      <c r="A48" s="1525"/>
      <c r="B48" s="1108" t="s">
        <v>265</v>
      </c>
      <c r="C48" s="169">
        <v>39</v>
      </c>
      <c r="D48" s="137" t="s">
        <v>90</v>
      </c>
      <c r="E48" s="137" t="s">
        <v>90</v>
      </c>
      <c r="F48" s="137" t="s">
        <v>90</v>
      </c>
      <c r="G48" s="1109"/>
      <c r="I48" s="699" t="s">
        <v>87</v>
      </c>
    </row>
    <row r="49" spans="1:9" x14ac:dyDescent="0.2">
      <c r="A49" s="1525"/>
      <c r="B49" s="1110" t="s">
        <v>1341</v>
      </c>
      <c r="C49" s="169">
        <v>40</v>
      </c>
      <c r="D49" s="137" t="s">
        <v>90</v>
      </c>
      <c r="E49" s="137" t="s">
        <v>90</v>
      </c>
      <c r="F49" s="137" t="s">
        <v>90</v>
      </c>
      <c r="G49" s="1109"/>
      <c r="I49" s="699" t="s">
        <v>87</v>
      </c>
    </row>
    <row r="50" spans="1:9" x14ac:dyDescent="0.2">
      <c r="A50" s="1525"/>
      <c r="B50" s="1108" t="s">
        <v>188</v>
      </c>
      <c r="C50" s="169">
        <v>41</v>
      </c>
      <c r="D50" s="137" t="s">
        <v>90</v>
      </c>
      <c r="E50" s="137" t="s">
        <v>90</v>
      </c>
      <c r="F50" s="137" t="s">
        <v>90</v>
      </c>
      <c r="G50" s="1109"/>
      <c r="I50" s="699" t="s">
        <v>87</v>
      </c>
    </row>
    <row r="51" spans="1:9" x14ac:dyDescent="0.2">
      <c r="A51" s="1525"/>
      <c r="B51" s="1108" t="s">
        <v>186</v>
      </c>
      <c r="C51" s="169">
        <v>42</v>
      </c>
      <c r="D51" s="137" t="s">
        <v>90</v>
      </c>
      <c r="E51" s="137" t="s">
        <v>90</v>
      </c>
      <c r="F51" s="137" t="s">
        <v>90</v>
      </c>
      <c r="G51" s="1109"/>
      <c r="I51" s="699" t="s">
        <v>87</v>
      </c>
    </row>
    <row r="52" spans="1:9" x14ac:dyDescent="0.2">
      <c r="A52" s="1525"/>
      <c r="B52" s="1108" t="s">
        <v>267</v>
      </c>
      <c r="C52" s="169">
        <v>43</v>
      </c>
      <c r="D52" s="137" t="s">
        <v>90</v>
      </c>
      <c r="E52" s="137" t="s">
        <v>90</v>
      </c>
      <c r="F52" s="137" t="s">
        <v>90</v>
      </c>
      <c r="G52" s="1109"/>
      <c r="I52" s="699" t="s">
        <v>87</v>
      </c>
    </row>
    <row r="53" spans="1:9" x14ac:dyDescent="0.2">
      <c r="A53" s="1525"/>
      <c r="B53" s="1108" t="s">
        <v>268</v>
      </c>
      <c r="C53" s="169">
        <v>44</v>
      </c>
      <c r="D53" s="139" t="s">
        <v>90</v>
      </c>
      <c r="E53" s="139" t="s">
        <v>90</v>
      </c>
      <c r="F53" s="139" t="s">
        <v>90</v>
      </c>
      <c r="G53" s="1111"/>
      <c r="I53" s="699" t="s">
        <v>87</v>
      </c>
    </row>
    <row r="54" spans="1:9" x14ac:dyDescent="0.2">
      <c r="A54" s="1526"/>
      <c r="B54" s="1112" t="s">
        <v>1342</v>
      </c>
      <c r="C54" s="169">
        <v>45</v>
      </c>
      <c r="D54" s="285">
        <f>SUM(D46:D53)</f>
        <v>0</v>
      </c>
      <c r="E54" s="285">
        <f>SUM(E46:E53)</f>
        <v>0</v>
      </c>
      <c r="F54" s="285">
        <f>SUM(F46:F53)</f>
        <v>0</v>
      </c>
      <c r="G54" s="1020"/>
      <c r="I54" s="699" t="s">
        <v>87</v>
      </c>
    </row>
    <row r="55" spans="1:9" ht="14.25" customHeight="1" x14ac:dyDescent="0.2">
      <c r="A55" s="1524" t="s">
        <v>954</v>
      </c>
      <c r="B55" s="1106" t="s">
        <v>263</v>
      </c>
      <c r="C55" s="169">
        <v>46</v>
      </c>
      <c r="D55" s="149" t="s">
        <v>90</v>
      </c>
      <c r="E55" s="149" t="s">
        <v>90</v>
      </c>
      <c r="F55" s="149" t="s">
        <v>90</v>
      </c>
      <c r="G55" s="1107"/>
      <c r="I55" s="699" t="s">
        <v>87</v>
      </c>
    </row>
    <row r="56" spans="1:9" x14ac:dyDescent="0.2">
      <c r="A56" s="1525"/>
      <c r="B56" s="1108" t="s">
        <v>264</v>
      </c>
      <c r="C56" s="169">
        <v>47</v>
      </c>
      <c r="D56" s="137" t="s">
        <v>90</v>
      </c>
      <c r="E56" s="137" t="s">
        <v>90</v>
      </c>
      <c r="F56" s="137" t="s">
        <v>90</v>
      </c>
      <c r="G56" s="1109"/>
      <c r="I56" s="699" t="s">
        <v>87</v>
      </c>
    </row>
    <row r="57" spans="1:9" x14ac:dyDescent="0.2">
      <c r="A57" s="1525"/>
      <c r="B57" s="1108" t="s">
        <v>265</v>
      </c>
      <c r="C57" s="169">
        <v>48</v>
      </c>
      <c r="D57" s="137" t="s">
        <v>90</v>
      </c>
      <c r="E57" s="137" t="s">
        <v>90</v>
      </c>
      <c r="F57" s="137" t="s">
        <v>90</v>
      </c>
      <c r="G57" s="1109"/>
      <c r="I57" s="699" t="s">
        <v>87</v>
      </c>
    </row>
    <row r="58" spans="1:9" x14ac:dyDescent="0.2">
      <c r="A58" s="1525"/>
      <c r="B58" s="1110" t="s">
        <v>1341</v>
      </c>
      <c r="C58" s="169">
        <v>49</v>
      </c>
      <c r="D58" s="137" t="s">
        <v>90</v>
      </c>
      <c r="E58" s="137" t="s">
        <v>90</v>
      </c>
      <c r="F58" s="137" t="s">
        <v>90</v>
      </c>
      <c r="G58" s="1109"/>
      <c r="I58" s="699" t="s">
        <v>87</v>
      </c>
    </row>
    <row r="59" spans="1:9" x14ac:dyDescent="0.2">
      <c r="A59" s="1525"/>
      <c r="B59" s="1108" t="s">
        <v>188</v>
      </c>
      <c r="C59" s="169">
        <v>50</v>
      </c>
      <c r="D59" s="137" t="s">
        <v>90</v>
      </c>
      <c r="E59" s="137" t="s">
        <v>90</v>
      </c>
      <c r="F59" s="137" t="s">
        <v>90</v>
      </c>
      <c r="G59" s="1109"/>
      <c r="I59" s="699" t="s">
        <v>87</v>
      </c>
    </row>
    <row r="60" spans="1:9" x14ac:dyDescent="0.2">
      <c r="A60" s="1525"/>
      <c r="B60" s="1108" t="s">
        <v>186</v>
      </c>
      <c r="C60" s="169">
        <v>51</v>
      </c>
      <c r="D60" s="137" t="s">
        <v>90</v>
      </c>
      <c r="E60" s="137" t="s">
        <v>90</v>
      </c>
      <c r="F60" s="137" t="s">
        <v>90</v>
      </c>
      <c r="G60" s="1109"/>
      <c r="I60" s="699" t="s">
        <v>87</v>
      </c>
    </row>
    <row r="61" spans="1:9" x14ac:dyDescent="0.2">
      <c r="A61" s="1525"/>
      <c r="B61" s="1108" t="s">
        <v>267</v>
      </c>
      <c r="C61" s="169">
        <v>52</v>
      </c>
      <c r="D61" s="137" t="s">
        <v>90</v>
      </c>
      <c r="E61" s="137" t="s">
        <v>90</v>
      </c>
      <c r="F61" s="137" t="s">
        <v>90</v>
      </c>
      <c r="G61" s="1109"/>
      <c r="I61" s="699" t="s">
        <v>87</v>
      </c>
    </row>
    <row r="62" spans="1:9" x14ac:dyDescent="0.2">
      <c r="A62" s="1525"/>
      <c r="B62" s="1108" t="s">
        <v>268</v>
      </c>
      <c r="C62" s="169">
        <v>53</v>
      </c>
      <c r="D62" s="139" t="s">
        <v>90</v>
      </c>
      <c r="E62" s="139" t="s">
        <v>90</v>
      </c>
      <c r="F62" s="139" t="s">
        <v>90</v>
      </c>
      <c r="G62" s="1111"/>
      <c r="I62" s="699" t="s">
        <v>87</v>
      </c>
    </row>
    <row r="63" spans="1:9" x14ac:dyDescent="0.2">
      <c r="A63" s="1526"/>
      <c r="B63" s="1112" t="s">
        <v>1342</v>
      </c>
      <c r="C63" s="162">
        <v>54</v>
      </c>
      <c r="D63" s="153">
        <f>SUM(D55:D62)</f>
        <v>0</v>
      </c>
      <c r="E63" s="153">
        <f>SUM(E55:E62)</f>
        <v>0</v>
      </c>
      <c r="F63" s="153">
        <f>SUM(F55:F62)</f>
        <v>0</v>
      </c>
      <c r="G63" s="1020"/>
      <c r="I63" s="699" t="s">
        <v>87</v>
      </c>
    </row>
    <row r="64" spans="1:9" x14ac:dyDescent="0.2">
      <c r="I64" s="699" t="s">
        <v>87</v>
      </c>
    </row>
    <row r="65" spans="1:9" x14ac:dyDescent="0.2">
      <c r="I65" s="699" t="s">
        <v>87</v>
      </c>
    </row>
    <row r="66" spans="1:9" ht="15" x14ac:dyDescent="0.25">
      <c r="A66" s="571"/>
      <c r="B66" s="1530" t="s">
        <v>1344</v>
      </c>
      <c r="C66" s="1531"/>
      <c r="D66" s="1531"/>
      <c r="E66" s="1531"/>
      <c r="F66" s="1531"/>
      <c r="G66" s="1532"/>
      <c r="I66" s="699" t="s">
        <v>87</v>
      </c>
    </row>
    <row r="67" spans="1:9" ht="30" customHeight="1" x14ac:dyDescent="0.2">
      <c r="A67" s="1101" t="s">
        <v>1336</v>
      </c>
      <c r="B67" s="873" t="s">
        <v>1337</v>
      </c>
      <c r="C67" s="1102"/>
      <c r="D67" s="1103" t="s">
        <v>1016</v>
      </c>
      <c r="E67" s="1528" t="s">
        <v>1338</v>
      </c>
      <c r="F67" s="1528" t="s">
        <v>990</v>
      </c>
      <c r="G67" s="1528" t="s">
        <v>1339</v>
      </c>
      <c r="I67" s="699" t="s">
        <v>87</v>
      </c>
    </row>
    <row r="68" spans="1:9" ht="30" customHeight="1" x14ac:dyDescent="0.2">
      <c r="A68" s="1104"/>
      <c r="B68" s="146"/>
      <c r="C68" s="125"/>
      <c r="D68" s="305" t="s">
        <v>1019</v>
      </c>
      <c r="E68" s="1529"/>
      <c r="F68" s="1529"/>
      <c r="G68" s="1529"/>
      <c r="I68" s="699" t="s">
        <v>87</v>
      </c>
    </row>
    <row r="69" spans="1:9" x14ac:dyDescent="0.2">
      <c r="A69" s="1105"/>
      <c r="B69" s="586"/>
      <c r="C69" s="124">
        <v>135</v>
      </c>
      <c r="D69" s="167">
        <v>1</v>
      </c>
      <c r="E69" s="167">
        <v>2</v>
      </c>
      <c r="F69" s="167">
        <v>3</v>
      </c>
      <c r="G69" s="214">
        <v>4</v>
      </c>
      <c r="I69" s="699" t="s">
        <v>87</v>
      </c>
    </row>
    <row r="70" spans="1:9" x14ac:dyDescent="0.2">
      <c r="A70" s="1524" t="s">
        <v>1340</v>
      </c>
      <c r="B70" s="1106" t="s">
        <v>263</v>
      </c>
      <c r="C70" s="169">
        <v>1</v>
      </c>
      <c r="D70" s="149" t="s">
        <v>90</v>
      </c>
      <c r="E70" s="149" t="s">
        <v>90</v>
      </c>
      <c r="F70" s="149" t="s">
        <v>90</v>
      </c>
      <c r="G70" s="1107"/>
      <c r="I70" s="699" t="s">
        <v>87</v>
      </c>
    </row>
    <row r="71" spans="1:9" x14ac:dyDescent="0.2">
      <c r="A71" s="1525"/>
      <c r="B71" s="1108" t="s">
        <v>264</v>
      </c>
      <c r="C71" s="169">
        <v>2</v>
      </c>
      <c r="D71" s="137" t="s">
        <v>90</v>
      </c>
      <c r="E71" s="137" t="s">
        <v>90</v>
      </c>
      <c r="F71" s="137" t="s">
        <v>90</v>
      </c>
      <c r="G71" s="1109"/>
      <c r="I71" s="699" t="s">
        <v>87</v>
      </c>
    </row>
    <row r="72" spans="1:9" x14ac:dyDescent="0.2">
      <c r="A72" s="1525"/>
      <c r="B72" s="1108" t="s">
        <v>265</v>
      </c>
      <c r="C72" s="169">
        <v>3</v>
      </c>
      <c r="D72" s="137" t="s">
        <v>90</v>
      </c>
      <c r="E72" s="137" t="s">
        <v>90</v>
      </c>
      <c r="F72" s="137" t="s">
        <v>90</v>
      </c>
      <c r="G72" s="1109"/>
      <c r="I72" s="699" t="s">
        <v>87</v>
      </c>
    </row>
    <row r="73" spans="1:9" x14ac:dyDescent="0.2">
      <c r="A73" s="1525"/>
      <c r="B73" s="1110" t="s">
        <v>1341</v>
      </c>
      <c r="C73" s="169">
        <v>4</v>
      </c>
      <c r="D73" s="137" t="s">
        <v>90</v>
      </c>
      <c r="E73" s="137" t="s">
        <v>90</v>
      </c>
      <c r="F73" s="137" t="s">
        <v>90</v>
      </c>
      <c r="G73" s="1109"/>
      <c r="I73" s="699" t="s">
        <v>87</v>
      </c>
    </row>
    <row r="74" spans="1:9" x14ac:dyDescent="0.2">
      <c r="A74" s="1525"/>
      <c r="B74" s="1108" t="s">
        <v>188</v>
      </c>
      <c r="C74" s="169">
        <v>5</v>
      </c>
      <c r="D74" s="137" t="s">
        <v>90</v>
      </c>
      <c r="E74" s="137" t="s">
        <v>90</v>
      </c>
      <c r="F74" s="137" t="s">
        <v>90</v>
      </c>
      <c r="G74" s="1109"/>
      <c r="I74" s="699" t="s">
        <v>87</v>
      </c>
    </row>
    <row r="75" spans="1:9" x14ac:dyDescent="0.2">
      <c r="A75" s="1525"/>
      <c r="B75" s="1108" t="s">
        <v>186</v>
      </c>
      <c r="C75" s="169">
        <v>6</v>
      </c>
      <c r="D75" s="137" t="s">
        <v>90</v>
      </c>
      <c r="E75" s="137" t="s">
        <v>90</v>
      </c>
      <c r="F75" s="137" t="s">
        <v>90</v>
      </c>
      <c r="G75" s="1109"/>
      <c r="I75" s="699" t="s">
        <v>87</v>
      </c>
    </row>
    <row r="76" spans="1:9" x14ac:dyDescent="0.2">
      <c r="A76" s="1525"/>
      <c r="B76" s="1108" t="s">
        <v>267</v>
      </c>
      <c r="C76" s="169">
        <v>7</v>
      </c>
      <c r="D76" s="137" t="s">
        <v>90</v>
      </c>
      <c r="E76" s="137" t="s">
        <v>90</v>
      </c>
      <c r="F76" s="137" t="s">
        <v>90</v>
      </c>
      <c r="G76" s="1109"/>
      <c r="I76" s="699" t="s">
        <v>87</v>
      </c>
    </row>
    <row r="77" spans="1:9" x14ac:dyDescent="0.2">
      <c r="A77" s="1525"/>
      <c r="B77" s="1108" t="s">
        <v>268</v>
      </c>
      <c r="C77" s="169">
        <v>8</v>
      </c>
      <c r="D77" s="139" t="s">
        <v>90</v>
      </c>
      <c r="E77" s="139" t="s">
        <v>90</v>
      </c>
      <c r="F77" s="139" t="s">
        <v>90</v>
      </c>
      <c r="G77" s="1111"/>
      <c r="I77" s="699" t="s">
        <v>87</v>
      </c>
    </row>
    <row r="78" spans="1:9" x14ac:dyDescent="0.2">
      <c r="A78" s="1526"/>
      <c r="B78" s="1112" t="s">
        <v>1342</v>
      </c>
      <c r="C78" s="169">
        <v>9</v>
      </c>
      <c r="D78" s="285">
        <f>SUM(D70:D77)</f>
        <v>0</v>
      </c>
      <c r="E78" s="285">
        <f>SUM(E70:E77)</f>
        <v>0</v>
      </c>
      <c r="F78" s="285">
        <f>SUM(F70:F77)</f>
        <v>0</v>
      </c>
      <c r="G78" s="1020"/>
      <c r="I78" s="699" t="s">
        <v>87</v>
      </c>
    </row>
    <row r="79" spans="1:9" ht="14.25" customHeight="1" x14ac:dyDescent="0.2">
      <c r="A79" s="1524" t="s">
        <v>1343</v>
      </c>
      <c r="B79" s="1108" t="s">
        <v>263</v>
      </c>
      <c r="C79" s="169">
        <v>10</v>
      </c>
      <c r="D79" s="149" t="s">
        <v>90</v>
      </c>
      <c r="E79" s="149" t="s">
        <v>90</v>
      </c>
      <c r="F79" s="149" t="s">
        <v>90</v>
      </c>
      <c r="G79" s="1107"/>
      <c r="I79" s="699" t="s">
        <v>87</v>
      </c>
    </row>
    <row r="80" spans="1:9" x14ac:dyDescent="0.2">
      <c r="A80" s="1525"/>
      <c r="B80" s="1108" t="s">
        <v>264</v>
      </c>
      <c r="C80" s="169">
        <v>11</v>
      </c>
      <c r="D80" s="137" t="s">
        <v>90</v>
      </c>
      <c r="E80" s="137" t="s">
        <v>90</v>
      </c>
      <c r="F80" s="137" t="s">
        <v>90</v>
      </c>
      <c r="G80" s="1109"/>
      <c r="I80" s="699" t="s">
        <v>87</v>
      </c>
    </row>
    <row r="81" spans="1:9" x14ac:dyDescent="0.2">
      <c r="A81" s="1525"/>
      <c r="B81" s="1108" t="s">
        <v>265</v>
      </c>
      <c r="C81" s="169">
        <v>12</v>
      </c>
      <c r="D81" s="137" t="s">
        <v>90</v>
      </c>
      <c r="E81" s="137" t="s">
        <v>90</v>
      </c>
      <c r="F81" s="137" t="s">
        <v>90</v>
      </c>
      <c r="G81" s="1109"/>
      <c r="I81" s="699" t="s">
        <v>87</v>
      </c>
    </row>
    <row r="82" spans="1:9" x14ac:dyDescent="0.2">
      <c r="A82" s="1525"/>
      <c r="B82" s="1110" t="s">
        <v>1341</v>
      </c>
      <c r="C82" s="169">
        <v>13</v>
      </c>
      <c r="D82" s="137" t="s">
        <v>90</v>
      </c>
      <c r="E82" s="137" t="s">
        <v>90</v>
      </c>
      <c r="F82" s="137" t="s">
        <v>90</v>
      </c>
      <c r="G82" s="1109"/>
      <c r="I82" s="699" t="s">
        <v>87</v>
      </c>
    </row>
    <row r="83" spans="1:9" x14ac:dyDescent="0.2">
      <c r="A83" s="1525"/>
      <c r="B83" s="1108" t="s">
        <v>188</v>
      </c>
      <c r="C83" s="169">
        <v>14</v>
      </c>
      <c r="D83" s="137" t="s">
        <v>90</v>
      </c>
      <c r="E83" s="137" t="s">
        <v>90</v>
      </c>
      <c r="F83" s="137" t="s">
        <v>90</v>
      </c>
      <c r="G83" s="1109"/>
      <c r="I83" s="699" t="s">
        <v>87</v>
      </c>
    </row>
    <row r="84" spans="1:9" x14ac:dyDescent="0.2">
      <c r="A84" s="1525"/>
      <c r="B84" s="1108" t="s">
        <v>186</v>
      </c>
      <c r="C84" s="169">
        <v>15</v>
      </c>
      <c r="D84" s="137" t="s">
        <v>90</v>
      </c>
      <c r="E84" s="137" t="s">
        <v>90</v>
      </c>
      <c r="F84" s="137" t="s">
        <v>90</v>
      </c>
      <c r="G84" s="1109"/>
      <c r="I84" s="699" t="s">
        <v>87</v>
      </c>
    </row>
    <row r="85" spans="1:9" x14ac:dyDescent="0.2">
      <c r="A85" s="1525"/>
      <c r="B85" s="1108" t="s">
        <v>267</v>
      </c>
      <c r="C85" s="169">
        <v>16</v>
      </c>
      <c r="D85" s="137" t="s">
        <v>90</v>
      </c>
      <c r="E85" s="137" t="s">
        <v>90</v>
      </c>
      <c r="F85" s="137" t="s">
        <v>90</v>
      </c>
      <c r="G85" s="1109"/>
      <c r="I85" s="699" t="s">
        <v>87</v>
      </c>
    </row>
    <row r="86" spans="1:9" x14ac:dyDescent="0.2">
      <c r="A86" s="1525"/>
      <c r="B86" s="1108" t="s">
        <v>268</v>
      </c>
      <c r="C86" s="169">
        <v>17</v>
      </c>
      <c r="D86" s="139" t="s">
        <v>90</v>
      </c>
      <c r="E86" s="139" t="s">
        <v>90</v>
      </c>
      <c r="F86" s="139" t="s">
        <v>90</v>
      </c>
      <c r="G86" s="1111"/>
      <c r="I86" s="699" t="s">
        <v>87</v>
      </c>
    </row>
    <row r="87" spans="1:9" x14ac:dyDescent="0.2">
      <c r="A87" s="1526"/>
      <c r="B87" s="1113" t="s">
        <v>1342</v>
      </c>
      <c r="C87" s="169">
        <v>18</v>
      </c>
      <c r="D87" s="285">
        <f>SUM(D79:D86)</f>
        <v>0</v>
      </c>
      <c r="E87" s="285">
        <f>SUM(E79:E86)</f>
        <v>0</v>
      </c>
      <c r="F87" s="285">
        <f>SUM(F79:F86)</f>
        <v>0</v>
      </c>
      <c r="G87" s="1020"/>
      <c r="I87" s="699" t="s">
        <v>87</v>
      </c>
    </row>
    <row r="88" spans="1:9" x14ac:dyDescent="0.2">
      <c r="A88" s="1524" t="s">
        <v>723</v>
      </c>
      <c r="B88" s="1106" t="s">
        <v>263</v>
      </c>
      <c r="C88" s="169">
        <v>19</v>
      </c>
      <c r="D88" s="149" t="s">
        <v>90</v>
      </c>
      <c r="E88" s="149" t="s">
        <v>90</v>
      </c>
      <c r="F88" s="149" t="s">
        <v>90</v>
      </c>
      <c r="G88" s="1107"/>
      <c r="I88" s="699" t="s">
        <v>87</v>
      </c>
    </row>
    <row r="89" spans="1:9" x14ac:dyDescent="0.2">
      <c r="A89" s="1525"/>
      <c r="B89" s="1108" t="s">
        <v>264</v>
      </c>
      <c r="C89" s="169">
        <v>20</v>
      </c>
      <c r="D89" s="137" t="s">
        <v>90</v>
      </c>
      <c r="E89" s="137" t="s">
        <v>90</v>
      </c>
      <c r="F89" s="137" t="s">
        <v>90</v>
      </c>
      <c r="G89" s="1109"/>
      <c r="I89" s="699" t="s">
        <v>87</v>
      </c>
    </row>
    <row r="90" spans="1:9" x14ac:dyDescent="0.2">
      <c r="A90" s="1525"/>
      <c r="B90" s="1108" t="s">
        <v>265</v>
      </c>
      <c r="C90" s="169">
        <v>21</v>
      </c>
      <c r="D90" s="137" t="s">
        <v>90</v>
      </c>
      <c r="E90" s="137" t="s">
        <v>90</v>
      </c>
      <c r="F90" s="137" t="s">
        <v>90</v>
      </c>
      <c r="G90" s="1109"/>
      <c r="I90" s="699" t="s">
        <v>87</v>
      </c>
    </row>
    <row r="91" spans="1:9" x14ac:dyDescent="0.2">
      <c r="A91" s="1525"/>
      <c r="B91" s="1110" t="s">
        <v>1341</v>
      </c>
      <c r="C91" s="169">
        <v>22</v>
      </c>
      <c r="D91" s="137" t="s">
        <v>90</v>
      </c>
      <c r="E91" s="137" t="s">
        <v>90</v>
      </c>
      <c r="F91" s="137" t="s">
        <v>90</v>
      </c>
      <c r="G91" s="1109"/>
      <c r="I91" s="699" t="s">
        <v>87</v>
      </c>
    </row>
    <row r="92" spans="1:9" x14ac:dyDescent="0.2">
      <c r="A92" s="1525"/>
      <c r="B92" s="1108" t="s">
        <v>188</v>
      </c>
      <c r="C92" s="169">
        <v>23</v>
      </c>
      <c r="D92" s="137" t="s">
        <v>90</v>
      </c>
      <c r="E92" s="137" t="s">
        <v>90</v>
      </c>
      <c r="F92" s="137" t="s">
        <v>90</v>
      </c>
      <c r="G92" s="1109"/>
      <c r="I92" s="699" t="s">
        <v>87</v>
      </c>
    </row>
    <row r="93" spans="1:9" x14ac:dyDescent="0.2">
      <c r="A93" s="1525"/>
      <c r="B93" s="1108" t="s">
        <v>186</v>
      </c>
      <c r="C93" s="169">
        <v>24</v>
      </c>
      <c r="D93" s="137" t="s">
        <v>90</v>
      </c>
      <c r="E93" s="137" t="s">
        <v>90</v>
      </c>
      <c r="F93" s="137" t="s">
        <v>90</v>
      </c>
      <c r="G93" s="1109"/>
      <c r="I93" s="699" t="s">
        <v>87</v>
      </c>
    </row>
    <row r="94" spans="1:9" x14ac:dyDescent="0.2">
      <c r="A94" s="1525"/>
      <c r="B94" s="1108" t="s">
        <v>267</v>
      </c>
      <c r="C94" s="169">
        <v>25</v>
      </c>
      <c r="D94" s="137" t="s">
        <v>90</v>
      </c>
      <c r="E94" s="137" t="s">
        <v>90</v>
      </c>
      <c r="F94" s="137" t="s">
        <v>90</v>
      </c>
      <c r="G94" s="1109"/>
      <c r="I94" s="699" t="s">
        <v>87</v>
      </c>
    </row>
    <row r="95" spans="1:9" x14ac:dyDescent="0.2">
      <c r="A95" s="1525"/>
      <c r="B95" s="1108" t="s">
        <v>268</v>
      </c>
      <c r="C95" s="169">
        <v>26</v>
      </c>
      <c r="D95" s="139" t="s">
        <v>90</v>
      </c>
      <c r="E95" s="139" t="s">
        <v>90</v>
      </c>
      <c r="F95" s="139" t="s">
        <v>90</v>
      </c>
      <c r="G95" s="1111"/>
      <c r="I95" s="699" t="s">
        <v>87</v>
      </c>
    </row>
    <row r="96" spans="1:9" x14ac:dyDescent="0.2">
      <c r="A96" s="1526"/>
      <c r="B96" s="1112" t="s">
        <v>1342</v>
      </c>
      <c r="C96" s="169">
        <v>27</v>
      </c>
      <c r="D96" s="285">
        <f>SUM(D88:D95)</f>
        <v>0</v>
      </c>
      <c r="E96" s="285">
        <f>SUM(E88:E95)</f>
        <v>0</v>
      </c>
      <c r="F96" s="285">
        <f>SUM(F88:F95)</f>
        <v>0</v>
      </c>
      <c r="G96" s="1020"/>
      <c r="I96" s="699" t="s">
        <v>87</v>
      </c>
    </row>
    <row r="97" spans="1:9" x14ac:dyDescent="0.2">
      <c r="A97" s="1524" t="s">
        <v>724</v>
      </c>
      <c r="B97" s="1108" t="s">
        <v>263</v>
      </c>
      <c r="C97" s="169">
        <v>28</v>
      </c>
      <c r="D97" s="149" t="s">
        <v>90</v>
      </c>
      <c r="E97" s="149" t="s">
        <v>90</v>
      </c>
      <c r="F97" s="149" t="s">
        <v>90</v>
      </c>
      <c r="G97" s="1107"/>
      <c r="I97" s="699" t="s">
        <v>87</v>
      </c>
    </row>
    <row r="98" spans="1:9" x14ac:dyDescent="0.2">
      <c r="A98" s="1525"/>
      <c r="B98" s="1108" t="s">
        <v>264</v>
      </c>
      <c r="C98" s="169">
        <v>29</v>
      </c>
      <c r="D98" s="137" t="s">
        <v>90</v>
      </c>
      <c r="E98" s="137" t="s">
        <v>90</v>
      </c>
      <c r="F98" s="137" t="s">
        <v>90</v>
      </c>
      <c r="G98" s="1109"/>
      <c r="I98" s="699" t="s">
        <v>87</v>
      </c>
    </row>
    <row r="99" spans="1:9" x14ac:dyDescent="0.2">
      <c r="A99" s="1525"/>
      <c r="B99" s="1108" t="s">
        <v>265</v>
      </c>
      <c r="C99" s="169">
        <v>30</v>
      </c>
      <c r="D99" s="137" t="s">
        <v>90</v>
      </c>
      <c r="E99" s="137" t="s">
        <v>90</v>
      </c>
      <c r="F99" s="137" t="s">
        <v>90</v>
      </c>
      <c r="G99" s="1109"/>
      <c r="I99" s="699" t="s">
        <v>87</v>
      </c>
    </row>
    <row r="100" spans="1:9" x14ac:dyDescent="0.2">
      <c r="A100" s="1525"/>
      <c r="B100" s="1110" t="s">
        <v>1341</v>
      </c>
      <c r="C100" s="169">
        <v>31</v>
      </c>
      <c r="D100" s="137" t="s">
        <v>90</v>
      </c>
      <c r="E100" s="137" t="s">
        <v>90</v>
      </c>
      <c r="F100" s="137" t="s">
        <v>90</v>
      </c>
      <c r="G100" s="1109"/>
      <c r="I100" s="699" t="s">
        <v>87</v>
      </c>
    </row>
    <row r="101" spans="1:9" x14ac:dyDescent="0.2">
      <c r="A101" s="1525"/>
      <c r="B101" s="1108" t="s">
        <v>188</v>
      </c>
      <c r="C101" s="169">
        <v>32</v>
      </c>
      <c r="D101" s="137" t="s">
        <v>90</v>
      </c>
      <c r="E101" s="137" t="s">
        <v>90</v>
      </c>
      <c r="F101" s="137" t="s">
        <v>90</v>
      </c>
      <c r="G101" s="1109"/>
      <c r="I101" s="699" t="s">
        <v>87</v>
      </c>
    </row>
    <row r="102" spans="1:9" x14ac:dyDescent="0.2">
      <c r="A102" s="1525"/>
      <c r="B102" s="1108" t="s">
        <v>186</v>
      </c>
      <c r="C102" s="169">
        <v>33</v>
      </c>
      <c r="D102" s="137" t="s">
        <v>90</v>
      </c>
      <c r="E102" s="137" t="s">
        <v>90</v>
      </c>
      <c r="F102" s="137" t="s">
        <v>90</v>
      </c>
      <c r="G102" s="1109"/>
      <c r="I102" s="699" t="s">
        <v>87</v>
      </c>
    </row>
    <row r="103" spans="1:9" x14ac:dyDescent="0.2">
      <c r="A103" s="1525"/>
      <c r="B103" s="1108" t="s">
        <v>267</v>
      </c>
      <c r="C103" s="169">
        <v>34</v>
      </c>
      <c r="D103" s="137" t="s">
        <v>90</v>
      </c>
      <c r="E103" s="137" t="s">
        <v>90</v>
      </c>
      <c r="F103" s="137" t="s">
        <v>90</v>
      </c>
      <c r="G103" s="1109"/>
      <c r="I103" s="699" t="s">
        <v>87</v>
      </c>
    </row>
    <row r="104" spans="1:9" x14ac:dyDescent="0.2">
      <c r="A104" s="1525"/>
      <c r="B104" s="1108" t="s">
        <v>268</v>
      </c>
      <c r="C104" s="169">
        <v>35</v>
      </c>
      <c r="D104" s="139" t="s">
        <v>90</v>
      </c>
      <c r="E104" s="139" t="s">
        <v>90</v>
      </c>
      <c r="F104" s="139" t="s">
        <v>90</v>
      </c>
      <c r="G104" s="1111"/>
      <c r="I104" s="699" t="s">
        <v>87</v>
      </c>
    </row>
    <row r="105" spans="1:9" x14ac:dyDescent="0.2">
      <c r="A105" s="1526"/>
      <c r="B105" s="1113" t="s">
        <v>1342</v>
      </c>
      <c r="C105" s="169">
        <v>36</v>
      </c>
      <c r="D105" s="285">
        <f>SUM(D97:D104)</f>
        <v>0</v>
      </c>
      <c r="E105" s="285">
        <f>SUM(E97:E104)</f>
        <v>0</v>
      </c>
      <c r="F105" s="285">
        <f>SUM(F97:F104)</f>
        <v>0</v>
      </c>
      <c r="G105" s="1020"/>
      <c r="I105" s="699" t="s">
        <v>87</v>
      </c>
    </row>
    <row r="106" spans="1:9" ht="14.25" customHeight="1" x14ac:dyDescent="0.2">
      <c r="A106" s="1524" t="s">
        <v>725</v>
      </c>
      <c r="B106" s="1106" t="s">
        <v>263</v>
      </c>
      <c r="C106" s="169">
        <v>37</v>
      </c>
      <c r="D106" s="149" t="s">
        <v>90</v>
      </c>
      <c r="E106" s="149" t="s">
        <v>90</v>
      </c>
      <c r="F106" s="149" t="s">
        <v>90</v>
      </c>
      <c r="G106" s="1107"/>
      <c r="I106" s="699" t="s">
        <v>87</v>
      </c>
    </row>
    <row r="107" spans="1:9" x14ac:dyDescent="0.2">
      <c r="A107" s="1525"/>
      <c r="B107" s="1108" t="s">
        <v>264</v>
      </c>
      <c r="C107" s="169">
        <v>38</v>
      </c>
      <c r="D107" s="137" t="s">
        <v>90</v>
      </c>
      <c r="E107" s="137" t="s">
        <v>90</v>
      </c>
      <c r="F107" s="137" t="s">
        <v>90</v>
      </c>
      <c r="G107" s="1109"/>
      <c r="I107" s="699" t="s">
        <v>87</v>
      </c>
    </row>
    <row r="108" spans="1:9" x14ac:dyDescent="0.2">
      <c r="A108" s="1525"/>
      <c r="B108" s="1108" t="s">
        <v>265</v>
      </c>
      <c r="C108" s="169">
        <v>39</v>
      </c>
      <c r="D108" s="137" t="s">
        <v>90</v>
      </c>
      <c r="E108" s="137" t="s">
        <v>90</v>
      </c>
      <c r="F108" s="137" t="s">
        <v>90</v>
      </c>
      <c r="G108" s="1109"/>
      <c r="I108" s="699" t="s">
        <v>87</v>
      </c>
    </row>
    <row r="109" spans="1:9" x14ac:dyDescent="0.2">
      <c r="A109" s="1525"/>
      <c r="B109" s="1110" t="s">
        <v>1341</v>
      </c>
      <c r="C109" s="169">
        <v>40</v>
      </c>
      <c r="D109" s="137" t="s">
        <v>90</v>
      </c>
      <c r="E109" s="137" t="s">
        <v>90</v>
      </c>
      <c r="F109" s="137" t="s">
        <v>90</v>
      </c>
      <c r="G109" s="1109"/>
      <c r="I109" s="699" t="s">
        <v>87</v>
      </c>
    </row>
    <row r="110" spans="1:9" x14ac:dyDescent="0.2">
      <c r="A110" s="1525"/>
      <c r="B110" s="1108" t="s">
        <v>188</v>
      </c>
      <c r="C110" s="169">
        <v>41</v>
      </c>
      <c r="D110" s="137" t="s">
        <v>90</v>
      </c>
      <c r="E110" s="137" t="s">
        <v>90</v>
      </c>
      <c r="F110" s="137" t="s">
        <v>90</v>
      </c>
      <c r="G110" s="1109"/>
      <c r="I110" s="699" t="s">
        <v>87</v>
      </c>
    </row>
    <row r="111" spans="1:9" x14ac:dyDescent="0.2">
      <c r="A111" s="1525"/>
      <c r="B111" s="1108" t="s">
        <v>186</v>
      </c>
      <c r="C111" s="169">
        <v>42</v>
      </c>
      <c r="D111" s="137" t="s">
        <v>90</v>
      </c>
      <c r="E111" s="137" t="s">
        <v>90</v>
      </c>
      <c r="F111" s="137" t="s">
        <v>90</v>
      </c>
      <c r="G111" s="1109"/>
      <c r="I111" s="699" t="s">
        <v>87</v>
      </c>
    </row>
    <row r="112" spans="1:9" x14ac:dyDescent="0.2">
      <c r="A112" s="1525"/>
      <c r="B112" s="1108" t="s">
        <v>267</v>
      </c>
      <c r="C112" s="169">
        <v>43</v>
      </c>
      <c r="D112" s="137" t="s">
        <v>90</v>
      </c>
      <c r="E112" s="137" t="s">
        <v>90</v>
      </c>
      <c r="F112" s="137" t="s">
        <v>90</v>
      </c>
      <c r="G112" s="1109"/>
      <c r="I112" s="699" t="s">
        <v>87</v>
      </c>
    </row>
    <row r="113" spans="1:9" x14ac:dyDescent="0.2">
      <c r="A113" s="1525"/>
      <c r="B113" s="1108" t="s">
        <v>268</v>
      </c>
      <c r="C113" s="169">
        <v>44</v>
      </c>
      <c r="D113" s="139" t="s">
        <v>90</v>
      </c>
      <c r="E113" s="139" t="s">
        <v>90</v>
      </c>
      <c r="F113" s="139" t="s">
        <v>90</v>
      </c>
      <c r="G113" s="1111"/>
      <c r="I113" s="699" t="s">
        <v>87</v>
      </c>
    </row>
    <row r="114" spans="1:9" x14ac:dyDescent="0.2">
      <c r="A114" s="1526"/>
      <c r="B114" s="1112" t="s">
        <v>1342</v>
      </c>
      <c r="C114" s="169">
        <v>45</v>
      </c>
      <c r="D114" s="285">
        <f>SUM(D106:D113)</f>
        <v>0</v>
      </c>
      <c r="E114" s="285">
        <f>SUM(E106:E113)</f>
        <v>0</v>
      </c>
      <c r="F114" s="285">
        <f>SUM(F106:F113)</f>
        <v>0</v>
      </c>
      <c r="G114" s="1020"/>
      <c r="I114" s="699" t="s">
        <v>87</v>
      </c>
    </row>
    <row r="115" spans="1:9" ht="14.25" customHeight="1" x14ac:dyDescent="0.2">
      <c r="A115" s="1524" t="s">
        <v>954</v>
      </c>
      <c r="B115" s="1106" t="s">
        <v>263</v>
      </c>
      <c r="C115" s="169">
        <v>46</v>
      </c>
      <c r="D115" s="149" t="s">
        <v>90</v>
      </c>
      <c r="E115" s="149" t="s">
        <v>90</v>
      </c>
      <c r="F115" s="149" t="s">
        <v>90</v>
      </c>
      <c r="G115" s="1107"/>
      <c r="I115" s="699" t="s">
        <v>87</v>
      </c>
    </row>
    <row r="116" spans="1:9" x14ac:dyDescent="0.2">
      <c r="A116" s="1525"/>
      <c r="B116" s="1108" t="s">
        <v>264</v>
      </c>
      <c r="C116" s="169">
        <v>47</v>
      </c>
      <c r="D116" s="137" t="s">
        <v>90</v>
      </c>
      <c r="E116" s="137" t="s">
        <v>90</v>
      </c>
      <c r="F116" s="137" t="s">
        <v>90</v>
      </c>
      <c r="G116" s="1109"/>
      <c r="I116" s="699" t="s">
        <v>87</v>
      </c>
    </row>
    <row r="117" spans="1:9" x14ac:dyDescent="0.2">
      <c r="A117" s="1525"/>
      <c r="B117" s="1108" t="s">
        <v>265</v>
      </c>
      <c r="C117" s="169">
        <v>48</v>
      </c>
      <c r="D117" s="137" t="s">
        <v>90</v>
      </c>
      <c r="E117" s="137" t="s">
        <v>90</v>
      </c>
      <c r="F117" s="137" t="s">
        <v>90</v>
      </c>
      <c r="G117" s="1109"/>
      <c r="I117" s="699" t="s">
        <v>87</v>
      </c>
    </row>
    <row r="118" spans="1:9" x14ac:dyDescent="0.2">
      <c r="A118" s="1525"/>
      <c r="B118" s="1110" t="s">
        <v>1341</v>
      </c>
      <c r="C118" s="169">
        <v>49</v>
      </c>
      <c r="D118" s="137" t="s">
        <v>90</v>
      </c>
      <c r="E118" s="137" t="s">
        <v>90</v>
      </c>
      <c r="F118" s="137" t="s">
        <v>90</v>
      </c>
      <c r="G118" s="1109"/>
      <c r="I118" s="699" t="s">
        <v>87</v>
      </c>
    </row>
    <row r="119" spans="1:9" x14ac:dyDescent="0.2">
      <c r="A119" s="1525"/>
      <c r="B119" s="1108" t="s">
        <v>188</v>
      </c>
      <c r="C119" s="169">
        <v>50</v>
      </c>
      <c r="D119" s="137" t="s">
        <v>90</v>
      </c>
      <c r="E119" s="137" t="s">
        <v>90</v>
      </c>
      <c r="F119" s="137" t="s">
        <v>90</v>
      </c>
      <c r="G119" s="1109"/>
      <c r="I119" s="699" t="s">
        <v>87</v>
      </c>
    </row>
    <row r="120" spans="1:9" x14ac:dyDescent="0.2">
      <c r="A120" s="1525"/>
      <c r="B120" s="1108" t="s">
        <v>186</v>
      </c>
      <c r="C120" s="169">
        <v>51</v>
      </c>
      <c r="D120" s="137" t="s">
        <v>90</v>
      </c>
      <c r="E120" s="137" t="s">
        <v>90</v>
      </c>
      <c r="F120" s="137" t="s">
        <v>90</v>
      </c>
      <c r="G120" s="1109"/>
      <c r="I120" s="699" t="s">
        <v>87</v>
      </c>
    </row>
    <row r="121" spans="1:9" x14ac:dyDescent="0.2">
      <c r="A121" s="1525"/>
      <c r="B121" s="1108" t="s">
        <v>267</v>
      </c>
      <c r="C121" s="169">
        <v>52</v>
      </c>
      <c r="D121" s="137" t="s">
        <v>90</v>
      </c>
      <c r="E121" s="137" t="s">
        <v>90</v>
      </c>
      <c r="F121" s="137" t="s">
        <v>90</v>
      </c>
      <c r="G121" s="1109"/>
      <c r="I121" s="699" t="s">
        <v>87</v>
      </c>
    </row>
    <row r="122" spans="1:9" x14ac:dyDescent="0.2">
      <c r="A122" s="1525"/>
      <c r="B122" s="1108" t="s">
        <v>268</v>
      </c>
      <c r="C122" s="169">
        <v>53</v>
      </c>
      <c r="D122" s="139" t="s">
        <v>90</v>
      </c>
      <c r="E122" s="139" t="s">
        <v>90</v>
      </c>
      <c r="F122" s="139" t="s">
        <v>90</v>
      </c>
      <c r="G122" s="1111"/>
      <c r="I122" s="699" t="s">
        <v>87</v>
      </c>
    </row>
    <row r="123" spans="1:9" x14ac:dyDescent="0.2">
      <c r="A123" s="1526"/>
      <c r="B123" s="1112" t="s">
        <v>1342</v>
      </c>
      <c r="C123" s="162">
        <v>54</v>
      </c>
      <c r="D123" s="153">
        <f>SUM(D115:D122)</f>
        <v>0</v>
      </c>
      <c r="E123" s="153">
        <f>SUM(E115:E122)</f>
        <v>0</v>
      </c>
      <c r="F123" s="153">
        <f>SUM(F115:F122)</f>
        <v>0</v>
      </c>
      <c r="G123" s="1020"/>
      <c r="I123" s="699" t="s">
        <v>87</v>
      </c>
    </row>
    <row r="124" spans="1:9" x14ac:dyDescent="0.2">
      <c r="I124" s="699" t="s">
        <v>87</v>
      </c>
    </row>
    <row r="125" spans="1:9" x14ac:dyDescent="0.2">
      <c r="I125" s="699" t="s">
        <v>87</v>
      </c>
    </row>
    <row r="126" spans="1:9" ht="15" x14ac:dyDescent="0.25">
      <c r="A126" s="571"/>
      <c r="B126" s="1527" t="s">
        <v>1345</v>
      </c>
      <c r="C126" s="1527"/>
      <c r="D126" s="1527"/>
      <c r="E126" s="1527"/>
      <c r="F126" s="1527"/>
      <c r="G126" s="1527"/>
      <c r="I126" s="699" t="s">
        <v>87</v>
      </c>
    </row>
    <row r="127" spans="1:9" ht="30" customHeight="1" x14ac:dyDescent="0.2">
      <c r="A127" s="1101" t="s">
        <v>1336</v>
      </c>
      <c r="B127" s="873" t="s">
        <v>1337</v>
      </c>
      <c r="C127" s="1102"/>
      <c r="D127" s="1103" t="s">
        <v>1016</v>
      </c>
      <c r="E127" s="1528" t="s">
        <v>1338</v>
      </c>
      <c r="F127" s="1528" t="s">
        <v>990</v>
      </c>
      <c r="G127" s="1528" t="s">
        <v>1339</v>
      </c>
      <c r="I127" s="699" t="s">
        <v>87</v>
      </c>
    </row>
    <row r="128" spans="1:9" ht="30" customHeight="1" x14ac:dyDescent="0.2">
      <c r="A128" s="1104"/>
      <c r="B128" s="146"/>
      <c r="C128" s="125"/>
      <c r="D128" s="305" t="s">
        <v>1019</v>
      </c>
      <c r="E128" s="1529"/>
      <c r="F128" s="1529"/>
      <c r="G128" s="1529"/>
      <c r="I128" s="699" t="s">
        <v>87</v>
      </c>
    </row>
    <row r="129" spans="1:9" x14ac:dyDescent="0.2">
      <c r="A129" s="1105"/>
      <c r="B129" s="586"/>
      <c r="C129" s="124">
        <v>136</v>
      </c>
      <c r="D129" s="167">
        <v>1</v>
      </c>
      <c r="E129" s="167">
        <v>2</v>
      </c>
      <c r="F129" s="167">
        <v>3</v>
      </c>
      <c r="G129" s="214">
        <v>4</v>
      </c>
      <c r="I129" s="699" t="s">
        <v>87</v>
      </c>
    </row>
    <row r="130" spans="1:9" x14ac:dyDescent="0.2">
      <c r="A130" s="1521" t="s">
        <v>1340</v>
      </c>
      <c r="B130" s="307" t="s">
        <v>1346</v>
      </c>
      <c r="C130" s="169">
        <v>1</v>
      </c>
      <c r="D130" s="137" t="s">
        <v>90</v>
      </c>
      <c r="E130" s="137" t="s">
        <v>90</v>
      </c>
      <c r="F130" s="137" t="s">
        <v>90</v>
      </c>
      <c r="G130" s="1109"/>
      <c r="I130" s="699" t="s">
        <v>87</v>
      </c>
    </row>
    <row r="131" spans="1:9" x14ac:dyDescent="0.2">
      <c r="A131" s="1522"/>
      <c r="B131" s="272" t="s">
        <v>1347</v>
      </c>
      <c r="C131" s="169">
        <v>2</v>
      </c>
      <c r="D131" s="137" t="s">
        <v>90</v>
      </c>
      <c r="E131" s="137" t="s">
        <v>90</v>
      </c>
      <c r="F131" s="137" t="s">
        <v>90</v>
      </c>
      <c r="G131" s="1109"/>
      <c r="I131" s="699" t="s">
        <v>87</v>
      </c>
    </row>
    <row r="132" spans="1:9" x14ac:dyDescent="0.2">
      <c r="A132" s="1522"/>
      <c r="B132" s="272" t="s">
        <v>1348</v>
      </c>
      <c r="C132" s="169">
        <v>3</v>
      </c>
      <c r="D132" s="137" t="s">
        <v>90</v>
      </c>
      <c r="E132" s="137" t="s">
        <v>90</v>
      </c>
      <c r="F132" s="137" t="s">
        <v>90</v>
      </c>
      <c r="G132" s="1109"/>
      <c r="I132" s="699" t="s">
        <v>87</v>
      </c>
    </row>
    <row r="133" spans="1:9" x14ac:dyDescent="0.2">
      <c r="A133" s="1523"/>
      <c r="B133" s="995" t="s">
        <v>1342</v>
      </c>
      <c r="C133" s="169">
        <v>4</v>
      </c>
      <c r="D133" s="153">
        <f>SUM(D130:D132)</f>
        <v>0</v>
      </c>
      <c r="E133" s="153">
        <f>SUM(E130:E132)</f>
        <v>0</v>
      </c>
      <c r="F133" s="153">
        <f>SUM(F130:F132)</f>
        <v>0</v>
      </c>
      <c r="G133" s="1020"/>
      <c r="I133" s="699" t="s">
        <v>87</v>
      </c>
    </row>
    <row r="134" spans="1:9" x14ac:dyDescent="0.2">
      <c r="A134" s="1521" t="s">
        <v>1343</v>
      </c>
      <c r="B134" s="307" t="s">
        <v>1346</v>
      </c>
      <c r="C134" s="169">
        <v>5</v>
      </c>
      <c r="D134" s="137" t="s">
        <v>90</v>
      </c>
      <c r="E134" s="137" t="s">
        <v>90</v>
      </c>
      <c r="F134" s="137" t="s">
        <v>90</v>
      </c>
      <c r="G134" s="1109"/>
      <c r="I134" s="699" t="s">
        <v>87</v>
      </c>
    </row>
    <row r="135" spans="1:9" x14ac:dyDescent="0.2">
      <c r="A135" s="1522"/>
      <c r="B135" s="272" t="s">
        <v>1347</v>
      </c>
      <c r="C135" s="169">
        <v>6</v>
      </c>
      <c r="D135" s="137" t="s">
        <v>90</v>
      </c>
      <c r="E135" s="137" t="s">
        <v>90</v>
      </c>
      <c r="F135" s="137" t="s">
        <v>90</v>
      </c>
      <c r="G135" s="1109"/>
      <c r="I135" s="699" t="s">
        <v>87</v>
      </c>
    </row>
    <row r="136" spans="1:9" x14ac:dyDescent="0.2">
      <c r="A136" s="1522"/>
      <c r="B136" s="272" t="s">
        <v>1348</v>
      </c>
      <c r="C136" s="169">
        <v>7</v>
      </c>
      <c r="D136" s="137" t="s">
        <v>90</v>
      </c>
      <c r="E136" s="137" t="s">
        <v>90</v>
      </c>
      <c r="F136" s="137" t="s">
        <v>90</v>
      </c>
      <c r="G136" s="1109"/>
      <c r="I136" s="699" t="s">
        <v>87</v>
      </c>
    </row>
    <row r="137" spans="1:9" x14ac:dyDescent="0.2">
      <c r="A137" s="1523"/>
      <c r="B137" s="995" t="s">
        <v>1342</v>
      </c>
      <c r="C137" s="169">
        <v>8</v>
      </c>
      <c r="D137" s="153">
        <f>SUM(D134:D136)</f>
        <v>0</v>
      </c>
      <c r="E137" s="153">
        <f>SUM(E134:E136)</f>
        <v>0</v>
      </c>
      <c r="F137" s="153">
        <f>SUM(F134:F136)</f>
        <v>0</v>
      </c>
      <c r="G137" s="1020"/>
      <c r="I137" s="699" t="s">
        <v>87</v>
      </c>
    </row>
    <row r="138" spans="1:9" x14ac:dyDescent="0.2">
      <c r="A138" s="1521" t="s">
        <v>723</v>
      </c>
      <c r="B138" s="963" t="s">
        <v>1346</v>
      </c>
      <c r="C138" s="169">
        <v>9</v>
      </c>
      <c r="D138" s="137" t="s">
        <v>90</v>
      </c>
      <c r="E138" s="137" t="s">
        <v>90</v>
      </c>
      <c r="F138" s="137" t="s">
        <v>90</v>
      </c>
      <c r="G138" s="1109"/>
      <c r="I138" s="699" t="s">
        <v>87</v>
      </c>
    </row>
    <row r="139" spans="1:9" x14ac:dyDescent="0.2">
      <c r="A139" s="1522"/>
      <c r="B139" s="1114" t="s">
        <v>1347</v>
      </c>
      <c r="C139" s="169">
        <v>10</v>
      </c>
      <c r="D139" s="137" t="s">
        <v>90</v>
      </c>
      <c r="E139" s="137" t="s">
        <v>90</v>
      </c>
      <c r="F139" s="137" t="s">
        <v>90</v>
      </c>
      <c r="G139" s="1109"/>
      <c r="I139" s="699" t="s">
        <v>87</v>
      </c>
    </row>
    <row r="140" spans="1:9" x14ac:dyDescent="0.2">
      <c r="A140" s="1522"/>
      <c r="B140" s="1114" t="s">
        <v>1348</v>
      </c>
      <c r="C140" s="169">
        <v>11</v>
      </c>
      <c r="D140" s="137" t="s">
        <v>90</v>
      </c>
      <c r="E140" s="137" t="s">
        <v>90</v>
      </c>
      <c r="F140" s="137" t="s">
        <v>90</v>
      </c>
      <c r="G140" s="1109"/>
      <c r="I140" s="699" t="s">
        <v>87</v>
      </c>
    </row>
    <row r="141" spans="1:9" x14ac:dyDescent="0.2">
      <c r="A141" s="1523"/>
      <c r="B141" s="995" t="s">
        <v>1342</v>
      </c>
      <c r="C141" s="169">
        <v>12</v>
      </c>
      <c r="D141" s="153">
        <f>SUM(D138:D140)</f>
        <v>0</v>
      </c>
      <c r="E141" s="153">
        <f>SUM(E138:E140)</f>
        <v>0</v>
      </c>
      <c r="F141" s="153">
        <f>SUM(F138:F140)</f>
        <v>0</v>
      </c>
      <c r="G141" s="1020"/>
      <c r="I141" s="699" t="s">
        <v>87</v>
      </c>
    </row>
    <row r="142" spans="1:9" x14ac:dyDescent="0.2">
      <c r="A142" s="1521" t="s">
        <v>724</v>
      </c>
      <c r="B142" s="307" t="s">
        <v>1346</v>
      </c>
      <c r="C142" s="169">
        <v>13</v>
      </c>
      <c r="D142" s="137" t="s">
        <v>90</v>
      </c>
      <c r="E142" s="137" t="s">
        <v>90</v>
      </c>
      <c r="F142" s="137" t="s">
        <v>90</v>
      </c>
      <c r="G142" s="1109"/>
      <c r="I142" s="699" t="s">
        <v>87</v>
      </c>
    </row>
    <row r="143" spans="1:9" x14ac:dyDescent="0.2">
      <c r="A143" s="1522"/>
      <c r="B143" s="272" t="s">
        <v>1347</v>
      </c>
      <c r="C143" s="169">
        <v>14</v>
      </c>
      <c r="D143" s="137" t="s">
        <v>90</v>
      </c>
      <c r="E143" s="137" t="s">
        <v>90</v>
      </c>
      <c r="F143" s="137" t="s">
        <v>90</v>
      </c>
      <c r="G143" s="1109"/>
      <c r="I143" s="699" t="s">
        <v>87</v>
      </c>
    </row>
    <row r="144" spans="1:9" x14ac:dyDescent="0.2">
      <c r="A144" s="1522"/>
      <c r="B144" s="272" t="s">
        <v>1348</v>
      </c>
      <c r="C144" s="169">
        <v>15</v>
      </c>
      <c r="D144" s="137" t="s">
        <v>90</v>
      </c>
      <c r="E144" s="137" t="s">
        <v>90</v>
      </c>
      <c r="F144" s="137" t="s">
        <v>90</v>
      </c>
      <c r="G144" s="1109"/>
      <c r="I144" s="699" t="s">
        <v>87</v>
      </c>
    </row>
    <row r="145" spans="1:9" x14ac:dyDescent="0.2">
      <c r="A145" s="1523"/>
      <c r="B145" s="995" t="s">
        <v>1342</v>
      </c>
      <c r="C145" s="169">
        <v>16</v>
      </c>
      <c r="D145" s="153">
        <f>SUM(D142:D144)</f>
        <v>0</v>
      </c>
      <c r="E145" s="153">
        <f>SUM(E142:E144)</f>
        <v>0</v>
      </c>
      <c r="F145" s="153">
        <f>SUM(F142:F144)</f>
        <v>0</v>
      </c>
      <c r="G145" s="1020"/>
      <c r="I145" s="699" t="s">
        <v>87</v>
      </c>
    </row>
    <row r="146" spans="1:9" x14ac:dyDescent="0.2">
      <c r="A146" s="1521" t="s">
        <v>725</v>
      </c>
      <c r="B146" s="307" t="s">
        <v>1346</v>
      </c>
      <c r="C146" s="169">
        <v>17</v>
      </c>
      <c r="D146" s="137" t="s">
        <v>90</v>
      </c>
      <c r="E146" s="137" t="s">
        <v>90</v>
      </c>
      <c r="F146" s="137" t="s">
        <v>90</v>
      </c>
      <c r="G146" s="1109"/>
      <c r="I146" s="699" t="s">
        <v>87</v>
      </c>
    </row>
    <row r="147" spans="1:9" x14ac:dyDescent="0.2">
      <c r="A147" s="1522"/>
      <c r="B147" s="272" t="s">
        <v>1347</v>
      </c>
      <c r="C147" s="169">
        <v>18</v>
      </c>
      <c r="D147" s="137" t="s">
        <v>90</v>
      </c>
      <c r="E147" s="137" t="s">
        <v>90</v>
      </c>
      <c r="F147" s="137" t="s">
        <v>90</v>
      </c>
      <c r="G147" s="1109"/>
      <c r="I147" s="699" t="s">
        <v>87</v>
      </c>
    </row>
    <row r="148" spans="1:9" x14ac:dyDescent="0.2">
      <c r="A148" s="1522"/>
      <c r="B148" s="272" t="s">
        <v>1348</v>
      </c>
      <c r="C148" s="169">
        <v>19</v>
      </c>
      <c r="D148" s="137" t="s">
        <v>90</v>
      </c>
      <c r="E148" s="137" t="s">
        <v>90</v>
      </c>
      <c r="F148" s="137" t="s">
        <v>90</v>
      </c>
      <c r="G148" s="1109"/>
      <c r="I148" s="699" t="s">
        <v>87</v>
      </c>
    </row>
    <row r="149" spans="1:9" x14ac:dyDescent="0.2">
      <c r="A149" s="1523"/>
      <c r="B149" s="995" t="s">
        <v>1342</v>
      </c>
      <c r="C149" s="169">
        <v>20</v>
      </c>
      <c r="D149" s="153">
        <f>SUM(D146:D148)</f>
        <v>0</v>
      </c>
      <c r="E149" s="153">
        <f>SUM(E146:E148)</f>
        <v>0</v>
      </c>
      <c r="F149" s="153">
        <f>SUM(F146:F148)</f>
        <v>0</v>
      </c>
      <c r="G149" s="1020"/>
      <c r="I149" s="699" t="s">
        <v>87</v>
      </c>
    </row>
    <row r="150" spans="1:9" x14ac:dyDescent="0.2">
      <c r="A150" s="1521" t="s">
        <v>954</v>
      </c>
      <c r="B150" s="307" t="s">
        <v>1346</v>
      </c>
      <c r="C150" s="169">
        <v>21</v>
      </c>
      <c r="D150" s="137" t="s">
        <v>90</v>
      </c>
      <c r="E150" s="137" t="s">
        <v>90</v>
      </c>
      <c r="F150" s="137" t="s">
        <v>90</v>
      </c>
      <c r="G150" s="1109"/>
      <c r="I150" s="699" t="s">
        <v>87</v>
      </c>
    </row>
    <row r="151" spans="1:9" x14ac:dyDescent="0.2">
      <c r="A151" s="1522"/>
      <c r="B151" s="272" t="s">
        <v>1347</v>
      </c>
      <c r="C151" s="169">
        <v>22</v>
      </c>
      <c r="D151" s="137" t="s">
        <v>90</v>
      </c>
      <c r="E151" s="137" t="s">
        <v>90</v>
      </c>
      <c r="F151" s="137" t="s">
        <v>90</v>
      </c>
      <c r="G151" s="1109"/>
      <c r="I151" s="699" t="s">
        <v>87</v>
      </c>
    </row>
    <row r="152" spans="1:9" x14ac:dyDescent="0.2">
      <c r="A152" s="1522"/>
      <c r="B152" s="272" t="s">
        <v>1348</v>
      </c>
      <c r="C152" s="169">
        <v>23</v>
      </c>
      <c r="D152" s="137" t="s">
        <v>90</v>
      </c>
      <c r="E152" s="137" t="s">
        <v>90</v>
      </c>
      <c r="F152" s="137" t="s">
        <v>90</v>
      </c>
      <c r="G152" s="1109"/>
      <c r="I152" s="699" t="s">
        <v>87</v>
      </c>
    </row>
    <row r="153" spans="1:9" x14ac:dyDescent="0.2">
      <c r="A153" s="1523"/>
      <c r="B153" s="995" t="s">
        <v>1342</v>
      </c>
      <c r="C153" s="162">
        <v>24</v>
      </c>
      <c r="D153" s="153">
        <f>SUM(D150:D152)</f>
        <v>0</v>
      </c>
      <c r="E153" s="153">
        <f>SUM(E150:E152)</f>
        <v>0</v>
      </c>
      <c r="F153" s="153">
        <f>SUM(F150:F152)</f>
        <v>0</v>
      </c>
      <c r="G153" s="1020"/>
      <c r="I153" s="699" t="s">
        <v>87</v>
      </c>
    </row>
    <row r="154" spans="1:9" x14ac:dyDescent="0.2">
      <c r="I154" s="699" t="s">
        <v>87</v>
      </c>
    </row>
    <row r="155" spans="1:9" x14ac:dyDescent="0.2">
      <c r="A155" s="699" t="s">
        <v>87</v>
      </c>
      <c r="B155" s="699" t="s">
        <v>87</v>
      </c>
      <c r="C155" s="699" t="s">
        <v>87</v>
      </c>
      <c r="D155" s="699" t="s">
        <v>87</v>
      </c>
      <c r="E155" s="699" t="s">
        <v>87</v>
      </c>
      <c r="F155" s="699" t="s">
        <v>87</v>
      </c>
      <c r="G155" s="699" t="s">
        <v>87</v>
      </c>
      <c r="H155" s="699" t="s">
        <v>87</v>
      </c>
      <c r="I155" s="699" t="s">
        <v>87</v>
      </c>
    </row>
  </sheetData>
  <mergeCells count="31">
    <mergeCell ref="B66:G66"/>
    <mergeCell ref="A4:G4"/>
    <mergeCell ref="B6:G6"/>
    <mergeCell ref="E7:E8"/>
    <mergeCell ref="F7:F8"/>
    <mergeCell ref="G7:G8"/>
    <mergeCell ref="A10:A18"/>
    <mergeCell ref="A88:A96"/>
    <mergeCell ref="A19:A27"/>
    <mergeCell ref="A28:A36"/>
    <mergeCell ref="A37:A45"/>
    <mergeCell ref="A46:A54"/>
    <mergeCell ref="A55:A63"/>
    <mergeCell ref="E67:E68"/>
    <mergeCell ref="F67:F68"/>
    <mergeCell ref="G67:G68"/>
    <mergeCell ref="A70:A78"/>
    <mergeCell ref="A79:A87"/>
    <mergeCell ref="A150:A153"/>
    <mergeCell ref="A97:A105"/>
    <mergeCell ref="A106:A114"/>
    <mergeCell ref="A115:A123"/>
    <mergeCell ref="B126:G126"/>
    <mergeCell ref="E127:E128"/>
    <mergeCell ref="F127:F128"/>
    <mergeCell ref="G127:G128"/>
    <mergeCell ref="A130:A133"/>
    <mergeCell ref="A134:A137"/>
    <mergeCell ref="A138:A141"/>
    <mergeCell ref="A142:A145"/>
    <mergeCell ref="A146:A149"/>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H18"/>
  <sheetViews>
    <sheetView showGridLines="0" zoomScaleNormal="100" workbookViewId="0"/>
  </sheetViews>
  <sheetFormatPr defaultRowHeight="12.75" x14ac:dyDescent="0.2"/>
  <cols>
    <col min="1" max="1" width="26.140625" customWidth="1"/>
    <col min="2" max="2" width="4.7109375" customWidth="1"/>
    <col min="3" max="4" width="12.28515625" customWidth="1"/>
    <col min="5" max="5" width="30.7109375" customWidth="1"/>
    <col min="6" max="6" width="35.140625" customWidth="1"/>
    <col min="7" max="8" width="2.28515625" customWidth="1"/>
  </cols>
  <sheetData>
    <row r="1" spans="1:8" x14ac:dyDescent="0.2">
      <c r="A1" s="93" t="str">
        <f>FT15.Participant!$A$1</f>
        <v>&lt;IAIG's Name&gt;</v>
      </c>
      <c r="B1" s="94"/>
      <c r="C1" s="94"/>
      <c r="D1" s="94"/>
      <c r="E1" s="94"/>
      <c r="F1" s="95" t="str">
        <f ca="1">HYPERLINK("#"&amp;CELL("address",FT15.IndexSheet),Version)</f>
        <v>2015 IAIS Field Testing Template</v>
      </c>
      <c r="H1" s="699" t="s">
        <v>87</v>
      </c>
    </row>
    <row r="2" spans="1:8" ht="15" x14ac:dyDescent="0.25">
      <c r="A2" s="97" t="str">
        <f>FT15.Participant!$A$2</f>
        <v>&lt;Currency&gt; - (&lt;Unit&gt;)</v>
      </c>
      <c r="B2" s="98" t="s">
        <v>1349</v>
      </c>
      <c r="C2" s="99"/>
      <c r="D2" s="98"/>
      <c r="E2" s="99"/>
      <c r="F2" s="100" t="str">
        <f>FT15.Participant!$E$2</f>
        <v xml:space="preserve">&lt;Reporting Date&gt; - </v>
      </c>
      <c r="H2" s="699" t="s">
        <v>87</v>
      </c>
    </row>
    <row r="3" spans="1:8" x14ac:dyDescent="0.2">
      <c r="H3" s="699" t="s">
        <v>87</v>
      </c>
    </row>
    <row r="4" spans="1:8" ht="33.75" customHeight="1" x14ac:dyDescent="0.2">
      <c r="A4" s="1533" t="s">
        <v>1350</v>
      </c>
      <c r="B4" s="1533"/>
      <c r="C4" s="1533"/>
      <c r="D4" s="1533"/>
      <c r="E4" s="1533"/>
      <c r="F4" s="1115"/>
      <c r="H4" s="699" t="s">
        <v>87</v>
      </c>
    </row>
    <row r="5" spans="1:8" ht="30.75" customHeight="1" x14ac:dyDescent="0.2">
      <c r="A5" s="1540" t="s">
        <v>1351</v>
      </c>
      <c r="B5" s="1540"/>
      <c r="C5" s="1540"/>
      <c r="D5" s="1540"/>
      <c r="E5" s="1540"/>
      <c r="F5" s="1116"/>
      <c r="H5" s="699" t="s">
        <v>87</v>
      </c>
    </row>
    <row r="6" spans="1:8" ht="14.25" x14ac:dyDescent="0.2">
      <c r="A6" s="92"/>
      <c r="B6" s="92"/>
      <c r="C6" s="571"/>
      <c r="H6" s="699" t="s">
        <v>87</v>
      </c>
    </row>
    <row r="7" spans="1:8" ht="37.5" customHeight="1" x14ac:dyDescent="0.2">
      <c r="A7" s="1117"/>
      <c r="B7" s="1118"/>
      <c r="C7" s="1541" t="s">
        <v>1352</v>
      </c>
      <c r="D7" s="1542"/>
      <c r="E7" s="1543" t="s">
        <v>1339</v>
      </c>
      <c r="F7" s="1544"/>
      <c r="H7" s="699" t="s">
        <v>87</v>
      </c>
    </row>
    <row r="8" spans="1:8" ht="45" x14ac:dyDescent="0.2">
      <c r="A8" s="809" t="s">
        <v>1336</v>
      </c>
      <c r="B8" s="1119"/>
      <c r="C8" s="1120" t="s">
        <v>1353</v>
      </c>
      <c r="D8" s="1120" t="s">
        <v>1354</v>
      </c>
      <c r="E8" s="1545"/>
      <c r="F8" s="1546"/>
      <c r="H8" s="699" t="s">
        <v>87</v>
      </c>
    </row>
    <row r="9" spans="1:8" x14ac:dyDescent="0.2">
      <c r="A9" s="1121"/>
      <c r="B9" s="124">
        <v>137</v>
      </c>
      <c r="C9" s="167">
        <v>2</v>
      </c>
      <c r="D9" s="167">
        <v>3</v>
      </c>
      <c r="E9" s="939">
        <v>4</v>
      </c>
      <c r="F9" s="1122"/>
      <c r="H9" s="699" t="s">
        <v>87</v>
      </c>
    </row>
    <row r="10" spans="1:8" x14ac:dyDescent="0.2">
      <c r="A10" s="1123" t="s">
        <v>1340</v>
      </c>
      <c r="B10" s="169">
        <v>1</v>
      </c>
      <c r="C10" s="149" t="s">
        <v>90</v>
      </c>
      <c r="D10" s="1030" t="s">
        <v>90</v>
      </c>
      <c r="E10" s="1536"/>
      <c r="F10" s="1537"/>
      <c r="H10" s="699" t="s">
        <v>87</v>
      </c>
    </row>
    <row r="11" spans="1:8" x14ac:dyDescent="0.2">
      <c r="A11" s="1124" t="s">
        <v>1343</v>
      </c>
      <c r="B11" s="169">
        <v>2</v>
      </c>
      <c r="C11" s="137" t="s">
        <v>90</v>
      </c>
      <c r="D11" s="1033" t="s">
        <v>90</v>
      </c>
      <c r="E11" s="1536"/>
      <c r="F11" s="1537"/>
      <c r="H11" s="699" t="s">
        <v>87</v>
      </c>
    </row>
    <row r="12" spans="1:8" x14ac:dyDescent="0.2">
      <c r="A12" s="1124" t="s">
        <v>723</v>
      </c>
      <c r="B12" s="169">
        <v>3</v>
      </c>
      <c r="C12" s="137" t="s">
        <v>90</v>
      </c>
      <c r="D12" s="1033" t="s">
        <v>90</v>
      </c>
      <c r="E12" s="1536"/>
      <c r="F12" s="1537"/>
      <c r="H12" s="699" t="s">
        <v>87</v>
      </c>
    </row>
    <row r="13" spans="1:8" x14ac:dyDescent="0.2">
      <c r="A13" s="1124" t="s">
        <v>724</v>
      </c>
      <c r="B13" s="169">
        <v>4</v>
      </c>
      <c r="C13" s="137" t="s">
        <v>90</v>
      </c>
      <c r="D13" s="1033" t="s">
        <v>90</v>
      </c>
      <c r="E13" s="1536"/>
      <c r="F13" s="1537"/>
      <c r="H13" s="699" t="s">
        <v>87</v>
      </c>
    </row>
    <row r="14" spans="1:8" x14ac:dyDescent="0.2">
      <c r="A14" s="1124" t="s">
        <v>725</v>
      </c>
      <c r="B14" s="169">
        <v>5</v>
      </c>
      <c r="C14" s="137" t="s">
        <v>90</v>
      </c>
      <c r="D14" s="1033" t="s">
        <v>90</v>
      </c>
      <c r="E14" s="1536"/>
      <c r="F14" s="1537"/>
      <c r="H14" s="699" t="s">
        <v>87</v>
      </c>
    </row>
    <row r="15" spans="1:8" x14ac:dyDescent="0.2">
      <c r="A15" s="1125" t="s">
        <v>954</v>
      </c>
      <c r="B15" s="169">
        <v>6</v>
      </c>
      <c r="C15" s="139" t="s">
        <v>90</v>
      </c>
      <c r="D15" s="1035" t="s">
        <v>90</v>
      </c>
      <c r="E15" s="1536"/>
      <c r="F15" s="1537"/>
      <c r="H15" s="699" t="s">
        <v>87</v>
      </c>
    </row>
    <row r="16" spans="1:8" ht="14.25" x14ac:dyDescent="0.2">
      <c r="A16" s="872" t="s">
        <v>1342</v>
      </c>
      <c r="B16" s="162">
        <v>7</v>
      </c>
      <c r="C16" s="565">
        <f>SUM(C10:C15)</f>
        <v>0</v>
      </c>
      <c r="D16" s="565">
        <f>SUM(D10:D15)</f>
        <v>0</v>
      </c>
      <c r="E16" s="1538"/>
      <c r="F16" s="1539"/>
      <c r="H16" s="699" t="s">
        <v>87</v>
      </c>
    </row>
    <row r="17" spans="1:8" x14ac:dyDescent="0.2">
      <c r="H17" s="699" t="s">
        <v>87</v>
      </c>
    </row>
    <row r="18" spans="1:8" x14ac:dyDescent="0.2">
      <c r="A18" s="699" t="s">
        <v>87</v>
      </c>
      <c r="B18" s="699" t="s">
        <v>87</v>
      </c>
      <c r="C18" s="699" t="s">
        <v>87</v>
      </c>
      <c r="D18" s="699" t="s">
        <v>87</v>
      </c>
      <c r="E18" s="699" t="s">
        <v>87</v>
      </c>
      <c r="F18" s="699" t="s">
        <v>87</v>
      </c>
      <c r="G18" s="699" t="s">
        <v>87</v>
      </c>
      <c r="H18" s="699" t="s">
        <v>87</v>
      </c>
    </row>
  </sheetData>
  <mergeCells count="11">
    <mergeCell ref="E11:F11"/>
    <mergeCell ref="A4:E4"/>
    <mergeCell ref="A5:E5"/>
    <mergeCell ref="C7:D7"/>
    <mergeCell ref="E7:F8"/>
    <mergeCell ref="E10:F10"/>
    <mergeCell ref="E12:F12"/>
    <mergeCell ref="E13:F13"/>
    <mergeCell ref="E14:F14"/>
    <mergeCell ref="E15:F15"/>
    <mergeCell ref="E16:F16"/>
  </mergeCells>
  <pageMargins left="0.25" right="0.25" top="0.75" bottom="0.75" header="0.3" footer="0.3"/>
  <pageSetup paperSize="9" orientation="landscape"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pageSetUpPr fitToPage="1"/>
  </sheetPr>
  <dimension ref="A1:O174"/>
  <sheetViews>
    <sheetView zoomScaleNormal="100" workbookViewId="0"/>
  </sheetViews>
  <sheetFormatPr defaultRowHeight="12.75" x14ac:dyDescent="0.2"/>
  <cols>
    <col min="1" max="1" width="54" customWidth="1"/>
    <col min="2" max="2" width="4.42578125" customWidth="1"/>
    <col min="3" max="3" width="10.5703125" customWidth="1"/>
    <col min="8" max="8" width="11.85546875" customWidth="1"/>
    <col min="9" max="9" width="8.5703125" customWidth="1"/>
    <col min="10" max="10" width="8.85546875" customWidth="1"/>
    <col min="11" max="12" width="9.7109375" customWidth="1"/>
    <col min="13" max="13" width="10" customWidth="1"/>
    <col min="14" max="14" width="2.85546875" customWidth="1"/>
    <col min="15" max="15" width="2" customWidth="1"/>
  </cols>
  <sheetData>
    <row r="1" spans="1:15" ht="14.25" x14ac:dyDescent="0.2">
      <c r="A1" s="93" t="str">
        <f>FT15.Participant!$A$1</f>
        <v>&lt;IAIG's Name&gt;</v>
      </c>
      <c r="B1" s="94"/>
      <c r="C1" s="94"/>
      <c r="D1" s="94"/>
      <c r="E1" s="94"/>
      <c r="F1" s="94"/>
      <c r="G1" s="94"/>
      <c r="H1" s="95" t="str">
        <f ca="1">HYPERLINK("#"&amp;CELL("address",FT15.IndexSheet),Version)</f>
        <v>2015 IAIS Field Testing Template</v>
      </c>
      <c r="O1" s="96" t="s">
        <v>87</v>
      </c>
    </row>
    <row r="2" spans="1:15" ht="15" x14ac:dyDescent="0.25">
      <c r="A2" s="97" t="str">
        <f>FT15.Participant!$A$2</f>
        <v>&lt;Currency&gt; - (&lt;Unit&gt;)</v>
      </c>
      <c r="B2" s="98" t="s">
        <v>63</v>
      </c>
      <c r="C2" s="99"/>
      <c r="D2" s="99"/>
      <c r="E2" s="99"/>
      <c r="F2" s="99"/>
      <c r="G2" s="99"/>
      <c r="H2" s="100" t="str">
        <f>FT15.Participant!$E$2</f>
        <v xml:space="preserve">&lt;Reporting Date&gt; - </v>
      </c>
      <c r="O2" s="96" t="s">
        <v>87</v>
      </c>
    </row>
    <row r="3" spans="1:15" ht="15" thickBot="1" x14ac:dyDescent="0.25">
      <c r="O3" s="96" t="s">
        <v>87</v>
      </c>
    </row>
    <row r="4" spans="1:15" ht="15.75" thickBot="1" x14ac:dyDescent="0.3">
      <c r="A4" s="294" t="s">
        <v>1355</v>
      </c>
      <c r="B4" s="295"/>
      <c r="C4" s="295"/>
      <c r="D4" s="295"/>
      <c r="E4" s="295"/>
      <c r="F4" s="296"/>
      <c r="O4" s="96" t="s">
        <v>87</v>
      </c>
    </row>
    <row r="5" spans="1:15" ht="14.25" x14ac:dyDescent="0.2">
      <c r="O5" s="96" t="s">
        <v>87</v>
      </c>
    </row>
    <row r="6" spans="1:15" ht="29.25" customHeight="1" x14ac:dyDescent="0.3">
      <c r="C6" s="297" t="s">
        <v>293</v>
      </c>
      <c r="D6" s="298"/>
      <c r="E6" s="299"/>
      <c r="G6" s="300" t="s">
        <v>294</v>
      </c>
      <c r="H6" s="301"/>
      <c r="I6" s="301"/>
      <c r="K6" s="300" t="s">
        <v>1356</v>
      </c>
      <c r="L6" s="301"/>
      <c r="M6" s="301"/>
      <c r="O6" s="96" t="s">
        <v>87</v>
      </c>
    </row>
    <row r="7" spans="1:15" ht="51" x14ac:dyDescent="0.2">
      <c r="C7" s="302" t="s">
        <v>295</v>
      </c>
      <c r="D7" s="303" t="s">
        <v>296</v>
      </c>
      <c r="E7" s="303" t="s">
        <v>223</v>
      </c>
      <c r="F7" s="265" t="s">
        <v>297</v>
      </c>
      <c r="G7" s="265" t="s">
        <v>223</v>
      </c>
      <c r="H7" s="1126" t="s">
        <v>295</v>
      </c>
      <c r="I7" s="1127" t="s">
        <v>1357</v>
      </c>
      <c r="J7" s="1128" t="s">
        <v>297</v>
      </c>
      <c r="K7" s="265" t="s">
        <v>223</v>
      </c>
      <c r="L7" s="1126" t="s">
        <v>295</v>
      </c>
      <c r="M7" s="1127" t="s">
        <v>1358</v>
      </c>
      <c r="O7" s="96" t="s">
        <v>87</v>
      </c>
    </row>
    <row r="8" spans="1:15" ht="15" x14ac:dyDescent="0.2">
      <c r="A8" s="305" t="s">
        <v>298</v>
      </c>
      <c r="B8" s="104">
        <v>138</v>
      </c>
      <c r="C8" s="105">
        <v>1</v>
      </c>
      <c r="D8" s="105" t="s">
        <v>299</v>
      </c>
      <c r="E8" s="105">
        <v>3</v>
      </c>
      <c r="F8" s="105" t="s">
        <v>300</v>
      </c>
      <c r="G8" s="105">
        <v>5</v>
      </c>
      <c r="H8" s="106" t="s">
        <v>301</v>
      </c>
      <c r="I8" s="105">
        <v>7</v>
      </c>
      <c r="J8" s="105" t="s">
        <v>1359</v>
      </c>
      <c r="K8" s="105">
        <v>9</v>
      </c>
      <c r="L8" s="106" t="s">
        <v>1360</v>
      </c>
      <c r="M8" s="105">
        <v>11</v>
      </c>
      <c r="O8" s="96" t="s">
        <v>87</v>
      </c>
    </row>
    <row r="9" spans="1:15" ht="15" x14ac:dyDescent="0.25">
      <c r="A9" s="306" t="s">
        <v>302</v>
      </c>
      <c r="B9" s="108">
        <v>1</v>
      </c>
      <c r="C9" s="226">
        <f>SUM(C10,C34,C35:C41,C44:C49)</f>
        <v>0</v>
      </c>
      <c r="D9" s="226">
        <f t="shared" ref="D9:D49" si="0">SUM(C9)-SUM(E9)</f>
        <v>0</v>
      </c>
      <c r="E9" s="226">
        <f>SUM(E10,E34,E35:E41,E44:E49)</f>
        <v>0</v>
      </c>
      <c r="F9" s="226">
        <f>E9-G9</f>
        <v>0</v>
      </c>
      <c r="G9" s="226">
        <f>SUM(G10,G34,G35:G41,G44:G49)</f>
        <v>0</v>
      </c>
      <c r="H9" s="226">
        <f>SUM(H10,H34,H35:H41,H44:H49)</f>
        <v>0</v>
      </c>
      <c r="I9" s="1129"/>
      <c r="J9" s="226">
        <f>E9-K9</f>
        <v>0</v>
      </c>
      <c r="K9" s="226">
        <f>SUM(K10,K34,K35:K41,K44:K49)</f>
        <v>0</v>
      </c>
      <c r="L9" s="226">
        <f>SUM(L10,L34,L35:L41,L44:L49)</f>
        <v>0</v>
      </c>
      <c r="M9" s="1129"/>
      <c r="O9" s="96" t="s">
        <v>87</v>
      </c>
    </row>
    <row r="10" spans="1:15" ht="14.25" x14ac:dyDescent="0.2">
      <c r="A10" s="307" t="s">
        <v>303</v>
      </c>
      <c r="B10" s="108">
        <v>2</v>
      </c>
      <c r="C10" s="133">
        <f>SUM(C11:C33)</f>
        <v>0</v>
      </c>
      <c r="D10" s="133">
        <f t="shared" si="0"/>
        <v>0</v>
      </c>
      <c r="E10" s="133">
        <f>SUM(E11:E33)</f>
        <v>0</v>
      </c>
      <c r="F10" s="133">
        <f>SUM(F11:F33)</f>
        <v>0</v>
      </c>
      <c r="G10" s="133">
        <f>SUM(G11:G33)</f>
        <v>0</v>
      </c>
      <c r="H10" s="133">
        <f>SUM(H11:H33)</f>
        <v>0</v>
      </c>
      <c r="I10" s="1130"/>
      <c r="J10" s="133">
        <f>SUM(J11:J33)</f>
        <v>0</v>
      </c>
      <c r="K10" s="226">
        <f>SUM(K11:K33)</f>
        <v>0</v>
      </c>
      <c r="L10" s="133">
        <f>SUM(L11:L33)</f>
        <v>0</v>
      </c>
      <c r="M10" s="1130"/>
      <c r="O10" s="96" t="s">
        <v>87</v>
      </c>
    </row>
    <row r="11" spans="1:15" ht="14.25" x14ac:dyDescent="0.2">
      <c r="A11" s="270" t="s">
        <v>225</v>
      </c>
      <c r="B11" s="108">
        <v>3</v>
      </c>
      <c r="C11" s="268" t="str">
        <f>'BCR.Balance sheet'!C11</f>
        <v>-</v>
      </c>
      <c r="D11" s="127">
        <f t="shared" si="0"/>
        <v>0</v>
      </c>
      <c r="E11" s="268" t="str">
        <f>'BCR.Balance sheet'!E11</f>
        <v>-</v>
      </c>
      <c r="F11" s="127">
        <f t="shared" ref="F11:F42" si="1">SUM(E11)-SUM(G11)</f>
        <v>0</v>
      </c>
      <c r="G11" s="268" t="str">
        <f>'BCR.Balance sheet'!G11</f>
        <v>-</v>
      </c>
      <c r="H11" s="133">
        <f t="shared" ref="H11:H62" si="2">SUM(D11,G11)</f>
        <v>0</v>
      </c>
      <c r="I11" s="1130"/>
      <c r="J11" s="127">
        <f t="shared" ref="J11:J74" si="3">SUM(E11)-SUM(K11)</f>
        <v>0</v>
      </c>
      <c r="K11" s="137" t="s">
        <v>90</v>
      </c>
      <c r="L11" s="133">
        <f t="shared" ref="L11:L62" si="4">SUM(D11,K11)</f>
        <v>0</v>
      </c>
      <c r="M11" s="1130"/>
      <c r="O11" s="96" t="s">
        <v>87</v>
      </c>
    </row>
    <row r="12" spans="1:15" ht="14.25" x14ac:dyDescent="0.2">
      <c r="A12" s="270" t="s">
        <v>226</v>
      </c>
      <c r="B12" s="108">
        <v>4</v>
      </c>
      <c r="C12" s="271" t="str">
        <f>'BCR.Balance sheet'!C12</f>
        <v>-</v>
      </c>
      <c r="D12" s="133">
        <f t="shared" si="0"/>
        <v>0</v>
      </c>
      <c r="E12" s="271" t="str">
        <f>'BCR.Balance sheet'!E12</f>
        <v>-</v>
      </c>
      <c r="F12" s="133">
        <f t="shared" si="1"/>
        <v>0</v>
      </c>
      <c r="G12" s="271" t="str">
        <f>'BCR.Balance sheet'!G12</f>
        <v>-</v>
      </c>
      <c r="H12" s="133">
        <f t="shared" si="2"/>
        <v>0</v>
      </c>
      <c r="I12" s="1130"/>
      <c r="J12" s="133">
        <f t="shared" si="3"/>
        <v>0</v>
      </c>
      <c r="K12" s="137" t="s">
        <v>90</v>
      </c>
      <c r="L12" s="133">
        <f t="shared" si="4"/>
        <v>0</v>
      </c>
      <c r="M12" s="1130"/>
      <c r="O12" s="96" t="s">
        <v>87</v>
      </c>
    </row>
    <row r="13" spans="1:15" ht="14.25" x14ac:dyDescent="0.2">
      <c r="A13" s="270" t="s">
        <v>227</v>
      </c>
      <c r="B13" s="108">
        <v>5</v>
      </c>
      <c r="C13" s="271" t="str">
        <f>'BCR.Balance sheet'!C13</f>
        <v>-</v>
      </c>
      <c r="D13" s="133">
        <f t="shared" si="0"/>
        <v>0</v>
      </c>
      <c r="E13" s="271" t="str">
        <f>'BCR.Balance sheet'!E13</f>
        <v>-</v>
      </c>
      <c r="F13" s="133">
        <f t="shared" si="1"/>
        <v>0</v>
      </c>
      <c r="G13" s="271" t="str">
        <f>'BCR.Balance sheet'!G13</f>
        <v>-</v>
      </c>
      <c r="H13" s="133">
        <f t="shared" si="2"/>
        <v>0</v>
      </c>
      <c r="I13" s="1130"/>
      <c r="J13" s="133">
        <f t="shared" si="3"/>
        <v>0</v>
      </c>
      <c r="K13" s="137" t="s">
        <v>90</v>
      </c>
      <c r="L13" s="133">
        <f t="shared" si="4"/>
        <v>0</v>
      </c>
      <c r="M13" s="1130"/>
      <c r="O13" s="96" t="s">
        <v>87</v>
      </c>
    </row>
    <row r="14" spans="1:15" ht="14.25" x14ac:dyDescent="0.2">
      <c r="A14" s="270" t="s">
        <v>228</v>
      </c>
      <c r="B14" s="108">
        <v>6</v>
      </c>
      <c r="C14" s="271" t="str">
        <f>'BCR.Balance sheet'!C14</f>
        <v>-</v>
      </c>
      <c r="D14" s="133">
        <f t="shared" si="0"/>
        <v>0</v>
      </c>
      <c r="E14" s="271" t="str">
        <f>'BCR.Balance sheet'!E14</f>
        <v>-</v>
      </c>
      <c r="F14" s="133">
        <f t="shared" si="1"/>
        <v>0</v>
      </c>
      <c r="G14" s="271" t="str">
        <f>'BCR.Balance sheet'!G14</f>
        <v>-</v>
      </c>
      <c r="H14" s="133">
        <f t="shared" si="2"/>
        <v>0</v>
      </c>
      <c r="I14" s="1130"/>
      <c r="J14" s="133">
        <f t="shared" si="3"/>
        <v>0</v>
      </c>
      <c r="K14" s="137" t="s">
        <v>90</v>
      </c>
      <c r="L14" s="133">
        <f t="shared" si="4"/>
        <v>0</v>
      </c>
      <c r="M14" s="1130"/>
      <c r="O14" s="96" t="s">
        <v>87</v>
      </c>
    </row>
    <row r="15" spans="1:15" ht="14.25" x14ac:dyDescent="0.2">
      <c r="A15" s="270" t="s">
        <v>229</v>
      </c>
      <c r="B15" s="108">
        <v>7</v>
      </c>
      <c r="C15" s="271" t="str">
        <f>'BCR.Balance sheet'!C15</f>
        <v>-</v>
      </c>
      <c r="D15" s="133">
        <f t="shared" si="0"/>
        <v>0</v>
      </c>
      <c r="E15" s="271" t="str">
        <f>'BCR.Balance sheet'!E15</f>
        <v>-</v>
      </c>
      <c r="F15" s="133">
        <f t="shared" si="1"/>
        <v>0</v>
      </c>
      <c r="G15" s="271" t="str">
        <f>'BCR.Balance sheet'!G15</f>
        <v>-</v>
      </c>
      <c r="H15" s="133">
        <f t="shared" si="2"/>
        <v>0</v>
      </c>
      <c r="I15" s="1130"/>
      <c r="J15" s="133">
        <f t="shared" si="3"/>
        <v>0</v>
      </c>
      <c r="K15" s="137" t="s">
        <v>90</v>
      </c>
      <c r="L15" s="133">
        <f t="shared" si="4"/>
        <v>0</v>
      </c>
      <c r="M15" s="1130"/>
      <c r="O15" s="96" t="s">
        <v>87</v>
      </c>
    </row>
    <row r="16" spans="1:15" ht="14.25" x14ac:dyDescent="0.2">
      <c r="A16" s="270" t="s">
        <v>230</v>
      </c>
      <c r="B16" s="108">
        <v>8</v>
      </c>
      <c r="C16" s="271" t="str">
        <f>'BCR.Balance sheet'!C16</f>
        <v>-</v>
      </c>
      <c r="D16" s="133">
        <f t="shared" si="0"/>
        <v>0</v>
      </c>
      <c r="E16" s="271" t="str">
        <f>'BCR.Balance sheet'!E16</f>
        <v>-</v>
      </c>
      <c r="F16" s="133">
        <f t="shared" si="1"/>
        <v>0</v>
      </c>
      <c r="G16" s="271" t="str">
        <f>'BCR.Balance sheet'!G16</f>
        <v>-</v>
      </c>
      <c r="H16" s="133">
        <f t="shared" si="2"/>
        <v>0</v>
      </c>
      <c r="I16" s="1130"/>
      <c r="J16" s="133">
        <f t="shared" si="3"/>
        <v>0</v>
      </c>
      <c r="K16" s="137" t="s">
        <v>90</v>
      </c>
      <c r="L16" s="133">
        <f t="shared" si="4"/>
        <v>0</v>
      </c>
      <c r="M16" s="1130"/>
      <c r="O16" s="96" t="s">
        <v>87</v>
      </c>
    </row>
    <row r="17" spans="1:15" ht="14.25" x14ac:dyDescent="0.2">
      <c r="A17" s="270" t="s">
        <v>231</v>
      </c>
      <c r="B17" s="108">
        <v>9</v>
      </c>
      <c r="C17" s="271" t="str">
        <f>'BCR.Balance sheet'!C17</f>
        <v>-</v>
      </c>
      <c r="D17" s="133">
        <f t="shared" si="0"/>
        <v>0</v>
      </c>
      <c r="E17" s="271" t="str">
        <f>'BCR.Balance sheet'!E17</f>
        <v>-</v>
      </c>
      <c r="F17" s="133">
        <f t="shared" si="1"/>
        <v>0</v>
      </c>
      <c r="G17" s="271" t="str">
        <f>'BCR.Balance sheet'!G17</f>
        <v>-</v>
      </c>
      <c r="H17" s="133">
        <f t="shared" si="2"/>
        <v>0</v>
      </c>
      <c r="I17" s="1130"/>
      <c r="J17" s="133">
        <f t="shared" si="3"/>
        <v>0</v>
      </c>
      <c r="K17" s="137" t="s">
        <v>90</v>
      </c>
      <c r="L17" s="133">
        <f t="shared" si="4"/>
        <v>0</v>
      </c>
      <c r="M17" s="1130"/>
      <c r="O17" s="96" t="s">
        <v>87</v>
      </c>
    </row>
    <row r="18" spans="1:15" ht="14.25" x14ac:dyDescent="0.2">
      <c r="A18" s="270" t="s">
        <v>232</v>
      </c>
      <c r="B18" s="108">
        <v>10</v>
      </c>
      <c r="C18" s="271" t="str">
        <f>'BCR.Balance sheet'!C18</f>
        <v>-</v>
      </c>
      <c r="D18" s="133">
        <f t="shared" si="0"/>
        <v>0</v>
      </c>
      <c r="E18" s="271" t="str">
        <f>'BCR.Balance sheet'!E18</f>
        <v>-</v>
      </c>
      <c r="F18" s="133">
        <f t="shared" si="1"/>
        <v>0</v>
      </c>
      <c r="G18" s="271" t="str">
        <f>'BCR.Balance sheet'!G18</f>
        <v>-</v>
      </c>
      <c r="H18" s="133">
        <f t="shared" si="2"/>
        <v>0</v>
      </c>
      <c r="I18" s="1130"/>
      <c r="J18" s="133">
        <f t="shared" si="3"/>
        <v>0</v>
      </c>
      <c r="K18" s="137" t="s">
        <v>90</v>
      </c>
      <c r="L18" s="133">
        <f t="shared" si="4"/>
        <v>0</v>
      </c>
      <c r="M18" s="1130"/>
      <c r="O18" s="96" t="s">
        <v>87</v>
      </c>
    </row>
    <row r="19" spans="1:15" ht="14.25" x14ac:dyDescent="0.2">
      <c r="A19" s="270" t="s">
        <v>233</v>
      </c>
      <c r="B19" s="108">
        <v>11</v>
      </c>
      <c r="C19" s="271" t="str">
        <f>'BCR.Balance sheet'!C19</f>
        <v>-</v>
      </c>
      <c r="D19" s="133">
        <f t="shared" si="0"/>
        <v>0</v>
      </c>
      <c r="E19" s="271" t="str">
        <f>'BCR.Balance sheet'!E19</f>
        <v>-</v>
      </c>
      <c r="F19" s="133">
        <f t="shared" si="1"/>
        <v>0</v>
      </c>
      <c r="G19" s="271" t="str">
        <f>'BCR.Balance sheet'!G19</f>
        <v>-</v>
      </c>
      <c r="H19" s="133">
        <f t="shared" si="2"/>
        <v>0</v>
      </c>
      <c r="I19" s="1130"/>
      <c r="J19" s="133">
        <f t="shared" si="3"/>
        <v>0</v>
      </c>
      <c r="K19" s="137" t="s">
        <v>90</v>
      </c>
      <c r="L19" s="133">
        <f t="shared" si="4"/>
        <v>0</v>
      </c>
      <c r="M19" s="1130"/>
      <c r="O19" s="96" t="s">
        <v>87</v>
      </c>
    </row>
    <row r="20" spans="1:15" ht="14.25" x14ac:dyDescent="0.2">
      <c r="A20" s="270" t="s">
        <v>234</v>
      </c>
      <c r="B20" s="108">
        <v>12</v>
      </c>
      <c r="C20" s="271" t="str">
        <f>'BCR.Balance sheet'!C20</f>
        <v>-</v>
      </c>
      <c r="D20" s="133">
        <f t="shared" si="0"/>
        <v>0</v>
      </c>
      <c r="E20" s="271" t="str">
        <f>'BCR.Balance sheet'!E20</f>
        <v>-</v>
      </c>
      <c r="F20" s="133">
        <f t="shared" si="1"/>
        <v>0</v>
      </c>
      <c r="G20" s="271" t="str">
        <f>'BCR.Balance sheet'!G20</f>
        <v>-</v>
      </c>
      <c r="H20" s="133">
        <f t="shared" si="2"/>
        <v>0</v>
      </c>
      <c r="I20" s="1130"/>
      <c r="J20" s="133">
        <f t="shared" si="3"/>
        <v>0</v>
      </c>
      <c r="K20" s="137" t="s">
        <v>90</v>
      </c>
      <c r="L20" s="133">
        <f t="shared" si="4"/>
        <v>0</v>
      </c>
      <c r="M20" s="1130"/>
      <c r="O20" s="96" t="s">
        <v>87</v>
      </c>
    </row>
    <row r="21" spans="1:15" ht="14.25" x14ac:dyDescent="0.2">
      <c r="A21" s="270" t="s">
        <v>235</v>
      </c>
      <c r="B21" s="108">
        <v>13</v>
      </c>
      <c r="C21" s="271" t="str">
        <f>'BCR.Balance sheet'!C21</f>
        <v>-</v>
      </c>
      <c r="D21" s="133">
        <f t="shared" si="0"/>
        <v>0</v>
      </c>
      <c r="E21" s="271" t="str">
        <f>'BCR.Balance sheet'!E21</f>
        <v>-</v>
      </c>
      <c r="F21" s="133">
        <f t="shared" si="1"/>
        <v>0</v>
      </c>
      <c r="G21" s="271" t="str">
        <f>'BCR.Balance sheet'!G21</f>
        <v>-</v>
      </c>
      <c r="H21" s="133">
        <f t="shared" si="2"/>
        <v>0</v>
      </c>
      <c r="I21" s="1130"/>
      <c r="J21" s="133">
        <f t="shared" si="3"/>
        <v>0</v>
      </c>
      <c r="K21" s="137" t="s">
        <v>90</v>
      </c>
      <c r="L21" s="133">
        <f t="shared" si="4"/>
        <v>0</v>
      </c>
      <c r="M21" s="1130"/>
      <c r="O21" s="96" t="s">
        <v>87</v>
      </c>
    </row>
    <row r="22" spans="1:15" ht="14.25" x14ac:dyDescent="0.2">
      <c r="A22" s="270" t="s">
        <v>236</v>
      </c>
      <c r="B22" s="108">
        <v>14</v>
      </c>
      <c r="C22" s="271" t="str">
        <f>'BCR.Balance sheet'!C22</f>
        <v>-</v>
      </c>
      <c r="D22" s="133">
        <f t="shared" si="0"/>
        <v>0</v>
      </c>
      <c r="E22" s="271" t="str">
        <f>'BCR.Balance sheet'!E22</f>
        <v>-</v>
      </c>
      <c r="F22" s="133">
        <f t="shared" si="1"/>
        <v>0</v>
      </c>
      <c r="G22" s="271" t="str">
        <f>'BCR.Balance sheet'!G22</f>
        <v>-</v>
      </c>
      <c r="H22" s="133">
        <f t="shared" si="2"/>
        <v>0</v>
      </c>
      <c r="I22" s="1130"/>
      <c r="J22" s="133">
        <f t="shared" si="3"/>
        <v>0</v>
      </c>
      <c r="K22" s="137" t="s">
        <v>90</v>
      </c>
      <c r="L22" s="133">
        <f t="shared" si="4"/>
        <v>0</v>
      </c>
      <c r="M22" s="1130"/>
      <c r="O22" s="96" t="s">
        <v>87</v>
      </c>
    </row>
    <row r="23" spans="1:15" ht="14.25" x14ac:dyDescent="0.2">
      <c r="A23" s="270" t="s">
        <v>237</v>
      </c>
      <c r="B23" s="108">
        <v>15</v>
      </c>
      <c r="C23" s="271" t="str">
        <f>'BCR.Balance sheet'!C23</f>
        <v>-</v>
      </c>
      <c r="D23" s="133">
        <f t="shared" si="0"/>
        <v>0</v>
      </c>
      <c r="E23" s="271" t="str">
        <f>'BCR.Balance sheet'!E23</f>
        <v>-</v>
      </c>
      <c r="F23" s="133">
        <f t="shared" si="1"/>
        <v>0</v>
      </c>
      <c r="G23" s="271" t="str">
        <f>'BCR.Balance sheet'!G23</f>
        <v>-</v>
      </c>
      <c r="H23" s="133">
        <f t="shared" si="2"/>
        <v>0</v>
      </c>
      <c r="I23" s="1130"/>
      <c r="J23" s="133">
        <f t="shared" si="3"/>
        <v>0</v>
      </c>
      <c r="K23" s="137" t="s">
        <v>90</v>
      </c>
      <c r="L23" s="133">
        <f t="shared" si="4"/>
        <v>0</v>
      </c>
      <c r="M23" s="1130"/>
      <c r="O23" s="96" t="s">
        <v>87</v>
      </c>
    </row>
    <row r="24" spans="1:15" ht="14.25" x14ac:dyDescent="0.2">
      <c r="A24" s="270" t="s">
        <v>238</v>
      </c>
      <c r="B24" s="108">
        <v>16</v>
      </c>
      <c r="C24" s="271" t="str">
        <f>'BCR.Balance sheet'!C24</f>
        <v>-</v>
      </c>
      <c r="D24" s="133">
        <f t="shared" si="0"/>
        <v>0</v>
      </c>
      <c r="E24" s="271" t="str">
        <f>'BCR.Balance sheet'!E24</f>
        <v>-</v>
      </c>
      <c r="F24" s="133">
        <f t="shared" si="1"/>
        <v>0</v>
      </c>
      <c r="G24" s="271" t="str">
        <f>'BCR.Balance sheet'!G24</f>
        <v>-</v>
      </c>
      <c r="H24" s="133">
        <f t="shared" si="2"/>
        <v>0</v>
      </c>
      <c r="I24" s="1130"/>
      <c r="J24" s="133">
        <f t="shared" si="3"/>
        <v>0</v>
      </c>
      <c r="K24" s="137" t="s">
        <v>90</v>
      </c>
      <c r="L24" s="133">
        <f t="shared" si="4"/>
        <v>0</v>
      </c>
      <c r="M24" s="1130"/>
      <c r="O24" s="96" t="s">
        <v>87</v>
      </c>
    </row>
    <row r="25" spans="1:15" ht="14.25" x14ac:dyDescent="0.2">
      <c r="A25" s="270" t="s">
        <v>239</v>
      </c>
      <c r="B25" s="108">
        <v>17</v>
      </c>
      <c r="C25" s="271" t="str">
        <f>'BCR.Balance sheet'!C25</f>
        <v>-</v>
      </c>
      <c r="D25" s="133">
        <f t="shared" si="0"/>
        <v>0</v>
      </c>
      <c r="E25" s="271" t="str">
        <f>'BCR.Balance sheet'!E25</f>
        <v>-</v>
      </c>
      <c r="F25" s="133">
        <f t="shared" si="1"/>
        <v>0</v>
      </c>
      <c r="G25" s="271" t="str">
        <f>'BCR.Balance sheet'!G25</f>
        <v>-</v>
      </c>
      <c r="H25" s="133">
        <f t="shared" si="2"/>
        <v>0</v>
      </c>
      <c r="I25" s="1130"/>
      <c r="J25" s="133">
        <f t="shared" si="3"/>
        <v>0</v>
      </c>
      <c r="K25" s="137" t="s">
        <v>90</v>
      </c>
      <c r="L25" s="133">
        <f t="shared" si="4"/>
        <v>0</v>
      </c>
      <c r="M25" s="1130"/>
      <c r="O25" s="96" t="s">
        <v>87</v>
      </c>
    </row>
    <row r="26" spans="1:15" ht="14.25" x14ac:dyDescent="0.2">
      <c r="A26" s="270" t="s">
        <v>240</v>
      </c>
      <c r="B26" s="108">
        <v>18</v>
      </c>
      <c r="C26" s="271" t="str">
        <f>'BCR.Balance sheet'!C26</f>
        <v>-</v>
      </c>
      <c r="D26" s="133">
        <f t="shared" si="0"/>
        <v>0</v>
      </c>
      <c r="E26" s="271" t="str">
        <f>'BCR.Balance sheet'!E26</f>
        <v>-</v>
      </c>
      <c r="F26" s="133">
        <f t="shared" si="1"/>
        <v>0</v>
      </c>
      <c r="G26" s="271" t="str">
        <f>'BCR.Balance sheet'!G26</f>
        <v>-</v>
      </c>
      <c r="H26" s="133">
        <f t="shared" si="2"/>
        <v>0</v>
      </c>
      <c r="I26" s="1130"/>
      <c r="J26" s="133">
        <f t="shared" si="3"/>
        <v>0</v>
      </c>
      <c r="K26" s="137" t="s">
        <v>90</v>
      </c>
      <c r="L26" s="133">
        <f t="shared" si="4"/>
        <v>0</v>
      </c>
      <c r="M26" s="1130"/>
      <c r="O26" s="96" t="s">
        <v>87</v>
      </c>
    </row>
    <row r="27" spans="1:15" ht="14.25" x14ac:dyDescent="0.2">
      <c r="A27" s="270" t="s">
        <v>241</v>
      </c>
      <c r="B27" s="108">
        <v>19</v>
      </c>
      <c r="C27" s="271" t="str">
        <f>'BCR.Balance sheet'!C27</f>
        <v>-</v>
      </c>
      <c r="D27" s="133">
        <f t="shared" si="0"/>
        <v>0</v>
      </c>
      <c r="E27" s="271" t="str">
        <f>'BCR.Balance sheet'!E27</f>
        <v>-</v>
      </c>
      <c r="F27" s="133">
        <f t="shared" si="1"/>
        <v>0</v>
      </c>
      <c r="G27" s="271" t="str">
        <f>'BCR.Balance sheet'!G27</f>
        <v>-</v>
      </c>
      <c r="H27" s="133">
        <f t="shared" si="2"/>
        <v>0</v>
      </c>
      <c r="I27" s="1130"/>
      <c r="J27" s="133">
        <f t="shared" si="3"/>
        <v>0</v>
      </c>
      <c r="K27" s="137" t="s">
        <v>90</v>
      </c>
      <c r="L27" s="133">
        <f t="shared" si="4"/>
        <v>0</v>
      </c>
      <c r="M27" s="1130"/>
      <c r="O27" s="96" t="s">
        <v>87</v>
      </c>
    </row>
    <row r="28" spans="1:15" ht="14.25" x14ac:dyDescent="0.2">
      <c r="A28" s="270" t="s">
        <v>242</v>
      </c>
      <c r="B28" s="108">
        <v>20</v>
      </c>
      <c r="C28" s="271" t="str">
        <f>'BCR.Balance sheet'!C28</f>
        <v>-</v>
      </c>
      <c r="D28" s="133">
        <f t="shared" si="0"/>
        <v>0</v>
      </c>
      <c r="E28" s="271" t="str">
        <f>'BCR.Balance sheet'!E28</f>
        <v>-</v>
      </c>
      <c r="F28" s="133">
        <f t="shared" si="1"/>
        <v>0</v>
      </c>
      <c r="G28" s="271" t="str">
        <f>'BCR.Balance sheet'!G28</f>
        <v>-</v>
      </c>
      <c r="H28" s="133">
        <f t="shared" si="2"/>
        <v>0</v>
      </c>
      <c r="I28" s="1130"/>
      <c r="J28" s="133">
        <f t="shared" si="3"/>
        <v>0</v>
      </c>
      <c r="K28" s="137" t="s">
        <v>90</v>
      </c>
      <c r="L28" s="133">
        <f t="shared" si="4"/>
        <v>0</v>
      </c>
      <c r="M28" s="1130"/>
      <c r="O28" s="96" t="s">
        <v>87</v>
      </c>
    </row>
    <row r="29" spans="1:15" ht="14.25" x14ac:dyDescent="0.2">
      <c r="A29" s="270" t="s">
        <v>243</v>
      </c>
      <c r="B29" s="108">
        <v>21</v>
      </c>
      <c r="C29" s="271" t="str">
        <f>'BCR.Balance sheet'!C29</f>
        <v>-</v>
      </c>
      <c r="D29" s="133">
        <f t="shared" si="0"/>
        <v>0</v>
      </c>
      <c r="E29" s="271" t="str">
        <f>'BCR.Balance sheet'!E29</f>
        <v>-</v>
      </c>
      <c r="F29" s="133">
        <f t="shared" si="1"/>
        <v>0</v>
      </c>
      <c r="G29" s="271" t="str">
        <f>'BCR.Balance sheet'!G29</f>
        <v>-</v>
      </c>
      <c r="H29" s="133">
        <f t="shared" si="2"/>
        <v>0</v>
      </c>
      <c r="I29" s="1130"/>
      <c r="J29" s="133">
        <f t="shared" si="3"/>
        <v>0</v>
      </c>
      <c r="K29" s="137" t="s">
        <v>90</v>
      </c>
      <c r="L29" s="133">
        <f t="shared" si="4"/>
        <v>0</v>
      </c>
      <c r="M29" s="1130"/>
      <c r="O29" s="96" t="s">
        <v>87</v>
      </c>
    </row>
    <row r="30" spans="1:15" ht="14.25" x14ac:dyDescent="0.2">
      <c r="A30" s="270" t="s">
        <v>244</v>
      </c>
      <c r="B30" s="108">
        <v>22</v>
      </c>
      <c r="C30" s="271" t="str">
        <f>'BCR.Balance sheet'!C30</f>
        <v>-</v>
      </c>
      <c r="D30" s="133">
        <f t="shared" si="0"/>
        <v>0</v>
      </c>
      <c r="E30" s="271" t="str">
        <f>'BCR.Balance sheet'!E30</f>
        <v>-</v>
      </c>
      <c r="F30" s="133">
        <f t="shared" si="1"/>
        <v>0</v>
      </c>
      <c r="G30" s="271" t="str">
        <f>'BCR.Balance sheet'!G30</f>
        <v>-</v>
      </c>
      <c r="H30" s="133">
        <f t="shared" si="2"/>
        <v>0</v>
      </c>
      <c r="I30" s="1130"/>
      <c r="J30" s="133">
        <f t="shared" si="3"/>
        <v>0</v>
      </c>
      <c r="K30" s="137" t="s">
        <v>90</v>
      </c>
      <c r="L30" s="133">
        <f t="shared" si="4"/>
        <v>0</v>
      </c>
      <c r="M30" s="1130"/>
      <c r="O30" s="96" t="s">
        <v>87</v>
      </c>
    </row>
    <row r="31" spans="1:15" ht="14.25" x14ac:dyDescent="0.2">
      <c r="A31" s="270" t="s">
        <v>245</v>
      </c>
      <c r="B31" s="108">
        <v>23</v>
      </c>
      <c r="C31" s="271" t="str">
        <f>'BCR.Balance sheet'!C31</f>
        <v>-</v>
      </c>
      <c r="D31" s="133">
        <f t="shared" si="0"/>
        <v>0</v>
      </c>
      <c r="E31" s="271" t="str">
        <f>'BCR.Balance sheet'!E31</f>
        <v>-</v>
      </c>
      <c r="F31" s="133">
        <f t="shared" si="1"/>
        <v>0</v>
      </c>
      <c r="G31" s="271" t="str">
        <f>'BCR.Balance sheet'!G31</f>
        <v>-</v>
      </c>
      <c r="H31" s="133">
        <f t="shared" si="2"/>
        <v>0</v>
      </c>
      <c r="I31" s="1130"/>
      <c r="J31" s="133">
        <f t="shared" si="3"/>
        <v>0</v>
      </c>
      <c r="K31" s="137" t="s">
        <v>90</v>
      </c>
      <c r="L31" s="133">
        <f t="shared" si="4"/>
        <v>0</v>
      </c>
      <c r="M31" s="1130"/>
      <c r="O31" s="96" t="s">
        <v>87</v>
      </c>
    </row>
    <row r="32" spans="1:15" ht="14.25" x14ac:dyDescent="0.2">
      <c r="A32" s="270" t="s">
        <v>246</v>
      </c>
      <c r="B32" s="108">
        <v>24</v>
      </c>
      <c r="C32" s="271" t="str">
        <f>'BCR.Balance sheet'!C32</f>
        <v>-</v>
      </c>
      <c r="D32" s="133">
        <f t="shared" si="0"/>
        <v>0</v>
      </c>
      <c r="E32" s="271" t="str">
        <f>'BCR.Balance sheet'!E32</f>
        <v>-</v>
      </c>
      <c r="F32" s="133">
        <f t="shared" si="1"/>
        <v>0</v>
      </c>
      <c r="G32" s="271" t="str">
        <f>'BCR.Balance sheet'!G32</f>
        <v>-</v>
      </c>
      <c r="H32" s="133">
        <f t="shared" si="2"/>
        <v>0</v>
      </c>
      <c r="I32" s="1130"/>
      <c r="J32" s="133">
        <f t="shared" si="3"/>
        <v>0</v>
      </c>
      <c r="K32" s="137" t="s">
        <v>90</v>
      </c>
      <c r="L32" s="133">
        <f t="shared" si="4"/>
        <v>0</v>
      </c>
      <c r="M32" s="1130"/>
      <c r="O32" s="96" t="s">
        <v>87</v>
      </c>
    </row>
    <row r="33" spans="1:15" ht="14.25" x14ac:dyDescent="0.2">
      <c r="A33" s="270" t="s">
        <v>247</v>
      </c>
      <c r="B33" s="108">
        <v>25</v>
      </c>
      <c r="C33" s="271" t="str">
        <f>'BCR.Balance sheet'!C33</f>
        <v>-</v>
      </c>
      <c r="D33" s="133">
        <f t="shared" si="0"/>
        <v>0</v>
      </c>
      <c r="E33" s="271" t="str">
        <f>'BCR.Balance sheet'!E33</f>
        <v>-</v>
      </c>
      <c r="F33" s="133">
        <f t="shared" si="1"/>
        <v>0</v>
      </c>
      <c r="G33" s="271" t="str">
        <f>'BCR.Balance sheet'!G33</f>
        <v>-</v>
      </c>
      <c r="H33" s="133">
        <f t="shared" si="2"/>
        <v>0</v>
      </c>
      <c r="I33" s="1130"/>
      <c r="J33" s="133">
        <f t="shared" si="3"/>
        <v>0</v>
      </c>
      <c r="K33" s="137" t="s">
        <v>90</v>
      </c>
      <c r="L33" s="133">
        <f t="shared" si="4"/>
        <v>0</v>
      </c>
      <c r="M33" s="1130"/>
      <c r="O33" s="96" t="s">
        <v>87</v>
      </c>
    </row>
    <row r="34" spans="1:15" ht="14.25" x14ac:dyDescent="0.2">
      <c r="A34" s="272" t="s">
        <v>248</v>
      </c>
      <c r="B34" s="108">
        <v>26</v>
      </c>
      <c r="C34" s="271" t="str">
        <f>'BCR.Balance sheet'!C34</f>
        <v>-</v>
      </c>
      <c r="D34" s="133">
        <f t="shared" si="0"/>
        <v>0</v>
      </c>
      <c r="E34" s="271" t="str">
        <f>'BCR.Balance sheet'!E34</f>
        <v>-</v>
      </c>
      <c r="F34" s="133">
        <f t="shared" si="1"/>
        <v>0</v>
      </c>
      <c r="G34" s="271" t="str">
        <f>'BCR.Balance sheet'!G34</f>
        <v>-</v>
      </c>
      <c r="H34" s="133">
        <f t="shared" si="2"/>
        <v>0</v>
      </c>
      <c r="I34" s="1130"/>
      <c r="J34" s="133">
        <f t="shared" si="3"/>
        <v>0</v>
      </c>
      <c r="K34" s="137" t="s">
        <v>90</v>
      </c>
      <c r="L34" s="133">
        <f t="shared" si="4"/>
        <v>0</v>
      </c>
      <c r="M34" s="1130"/>
      <c r="O34" s="96" t="s">
        <v>87</v>
      </c>
    </row>
    <row r="35" spans="1:15" ht="14.25" x14ac:dyDescent="0.2">
      <c r="A35" s="272" t="s">
        <v>249</v>
      </c>
      <c r="B35" s="108">
        <v>27</v>
      </c>
      <c r="C35" s="271" t="str">
        <f>'BCR.Balance sheet'!C35</f>
        <v>-</v>
      </c>
      <c r="D35" s="133">
        <f t="shared" si="0"/>
        <v>0</v>
      </c>
      <c r="E35" s="271" t="str">
        <f>'BCR.Balance sheet'!E35</f>
        <v>-</v>
      </c>
      <c r="F35" s="133">
        <f t="shared" si="1"/>
        <v>0</v>
      </c>
      <c r="G35" s="271" t="str">
        <f>'BCR.Balance sheet'!G35</f>
        <v>-</v>
      </c>
      <c r="H35" s="133">
        <f t="shared" si="2"/>
        <v>0</v>
      </c>
      <c r="I35" s="1130"/>
      <c r="J35" s="133">
        <f t="shared" si="3"/>
        <v>0</v>
      </c>
      <c r="K35" s="137" t="s">
        <v>90</v>
      </c>
      <c r="L35" s="133">
        <f t="shared" si="4"/>
        <v>0</v>
      </c>
      <c r="M35" s="1130"/>
      <c r="O35" s="96" t="s">
        <v>87</v>
      </c>
    </row>
    <row r="36" spans="1:15" ht="14.25" x14ac:dyDescent="0.2">
      <c r="A36" s="272" t="s">
        <v>250</v>
      </c>
      <c r="B36" s="108">
        <v>28</v>
      </c>
      <c r="C36" s="271" t="str">
        <f>'BCR.Balance sheet'!C36</f>
        <v>-</v>
      </c>
      <c r="D36" s="133">
        <f t="shared" si="0"/>
        <v>0</v>
      </c>
      <c r="E36" s="271" t="str">
        <f>'BCR.Balance sheet'!E36</f>
        <v>-</v>
      </c>
      <c r="F36" s="133">
        <f t="shared" si="1"/>
        <v>0</v>
      </c>
      <c r="G36" s="271" t="str">
        <f>'BCR.Balance sheet'!G36</f>
        <v>-</v>
      </c>
      <c r="H36" s="133">
        <f t="shared" si="2"/>
        <v>0</v>
      </c>
      <c r="I36" s="1130"/>
      <c r="J36" s="133">
        <f t="shared" si="3"/>
        <v>0</v>
      </c>
      <c r="K36" s="137" t="s">
        <v>90</v>
      </c>
      <c r="L36" s="133">
        <f t="shared" si="4"/>
        <v>0</v>
      </c>
      <c r="M36" s="1130"/>
      <c r="O36" s="96" t="s">
        <v>87</v>
      </c>
    </row>
    <row r="37" spans="1:15" ht="14.25" x14ac:dyDescent="0.2">
      <c r="A37" s="308"/>
      <c r="B37" s="309"/>
      <c r="C37" s="130"/>
      <c r="D37" s="130"/>
      <c r="E37" s="130"/>
      <c r="F37" s="130"/>
      <c r="G37" s="130"/>
      <c r="H37" s="130"/>
      <c r="I37" s="1131"/>
      <c r="J37" s="130"/>
      <c r="K37" s="130"/>
      <c r="L37" s="130"/>
      <c r="M37" s="1131"/>
      <c r="O37" s="96" t="s">
        <v>87</v>
      </c>
    </row>
    <row r="38" spans="1:15" ht="14.25" x14ac:dyDescent="0.2">
      <c r="A38" s="272" t="s">
        <v>304</v>
      </c>
      <c r="B38" s="108">
        <v>30</v>
      </c>
      <c r="C38" s="271" t="str">
        <f>'BCR.Balance sheet'!C38</f>
        <v>-</v>
      </c>
      <c r="D38" s="133">
        <f t="shared" si="0"/>
        <v>0</v>
      </c>
      <c r="E38" s="271" t="str">
        <f>'BCR.Balance sheet'!E38</f>
        <v>-</v>
      </c>
      <c r="F38" s="133">
        <f t="shared" si="1"/>
        <v>0</v>
      </c>
      <c r="G38" s="271" t="str">
        <f>'BCR.Balance sheet'!G38</f>
        <v>-</v>
      </c>
      <c r="H38" s="133">
        <f t="shared" si="2"/>
        <v>0</v>
      </c>
      <c r="I38" s="1130"/>
      <c r="J38" s="133">
        <f t="shared" si="3"/>
        <v>0</v>
      </c>
      <c r="K38" s="137" t="s">
        <v>90</v>
      </c>
      <c r="L38" s="133">
        <f t="shared" si="4"/>
        <v>0</v>
      </c>
      <c r="M38" s="1130"/>
      <c r="O38" s="96" t="s">
        <v>87</v>
      </c>
    </row>
    <row r="39" spans="1:15" ht="14.25" x14ac:dyDescent="0.2">
      <c r="A39" s="272" t="s">
        <v>305</v>
      </c>
      <c r="B39" s="108">
        <v>31</v>
      </c>
      <c r="C39" s="271" t="str">
        <f>'BCR.Balance sheet'!C39</f>
        <v>-</v>
      </c>
      <c r="D39" s="133">
        <f t="shared" si="0"/>
        <v>0</v>
      </c>
      <c r="E39" s="271" t="str">
        <f>'BCR.Balance sheet'!E39</f>
        <v>-</v>
      </c>
      <c r="F39" s="133">
        <f t="shared" si="1"/>
        <v>0</v>
      </c>
      <c r="G39" s="271" t="str">
        <f>'BCR.Balance sheet'!G39</f>
        <v>-</v>
      </c>
      <c r="H39" s="133">
        <f t="shared" si="2"/>
        <v>0</v>
      </c>
      <c r="I39" s="1130"/>
      <c r="J39" s="133">
        <f t="shared" si="3"/>
        <v>0</v>
      </c>
      <c r="K39" s="137" t="s">
        <v>90</v>
      </c>
      <c r="L39" s="133">
        <f t="shared" si="4"/>
        <v>0</v>
      </c>
      <c r="M39" s="1130"/>
      <c r="O39" s="96" t="s">
        <v>87</v>
      </c>
    </row>
    <row r="40" spans="1:15" ht="14.25" x14ac:dyDescent="0.2">
      <c r="A40" s="272" t="s">
        <v>306</v>
      </c>
      <c r="B40" s="108">
        <v>32</v>
      </c>
      <c r="C40" s="271" t="str">
        <f>'BCR.Balance sheet'!C40</f>
        <v>-</v>
      </c>
      <c r="D40" s="133">
        <f t="shared" si="0"/>
        <v>0</v>
      </c>
      <c r="E40" s="271" t="str">
        <f>'BCR.Balance sheet'!E40</f>
        <v>-</v>
      </c>
      <c r="F40" s="133">
        <f t="shared" si="1"/>
        <v>0</v>
      </c>
      <c r="G40" s="271" t="str">
        <f>'BCR.Balance sheet'!G40</f>
        <v>-</v>
      </c>
      <c r="H40" s="133">
        <f t="shared" si="2"/>
        <v>0</v>
      </c>
      <c r="I40" s="1130"/>
      <c r="J40" s="133">
        <f t="shared" si="3"/>
        <v>0</v>
      </c>
      <c r="K40" s="137" t="s">
        <v>90</v>
      </c>
      <c r="L40" s="133">
        <f t="shared" si="4"/>
        <v>0</v>
      </c>
      <c r="M40" s="1130"/>
      <c r="O40" s="96" t="s">
        <v>87</v>
      </c>
    </row>
    <row r="41" spans="1:15" ht="14.25" x14ac:dyDescent="0.2">
      <c r="A41" s="272" t="s">
        <v>307</v>
      </c>
      <c r="B41" s="108">
        <v>33</v>
      </c>
      <c r="C41" s="133">
        <f>SUM(C42:C43)</f>
        <v>0</v>
      </c>
      <c r="D41" s="133">
        <f t="shared" si="0"/>
        <v>0</v>
      </c>
      <c r="E41" s="133">
        <f>SUM(E42:E43)</f>
        <v>0</v>
      </c>
      <c r="F41" s="133">
        <f t="shared" si="1"/>
        <v>0</v>
      </c>
      <c r="G41" s="133">
        <f>SUM(G42:G43)</f>
        <v>0</v>
      </c>
      <c r="H41" s="133">
        <f t="shared" si="2"/>
        <v>0</v>
      </c>
      <c r="I41" s="1130"/>
      <c r="J41" s="133">
        <f t="shared" si="3"/>
        <v>0</v>
      </c>
      <c r="K41" s="133">
        <f>SUM(K42:K43)</f>
        <v>0</v>
      </c>
      <c r="L41" s="133">
        <f t="shared" si="4"/>
        <v>0</v>
      </c>
      <c r="M41" s="1130"/>
      <c r="O41" s="96" t="s">
        <v>87</v>
      </c>
    </row>
    <row r="42" spans="1:15" ht="14.25" x14ac:dyDescent="0.2">
      <c r="A42" s="270" t="s">
        <v>308</v>
      </c>
      <c r="B42" s="108">
        <v>34</v>
      </c>
      <c r="C42" s="271" t="str">
        <f>'BCR.Balance sheet'!C42</f>
        <v>-</v>
      </c>
      <c r="D42" s="133">
        <f t="shared" si="0"/>
        <v>0</v>
      </c>
      <c r="E42" s="271" t="str">
        <f>'BCR.Balance sheet'!E42</f>
        <v>-</v>
      </c>
      <c r="F42" s="133">
        <f t="shared" si="1"/>
        <v>0</v>
      </c>
      <c r="G42" s="271">
        <f>'BCR.Balance sheet'!G42</f>
        <v>0</v>
      </c>
      <c r="H42" s="133">
        <f t="shared" si="2"/>
        <v>0</v>
      </c>
      <c r="I42" s="1130"/>
      <c r="J42" s="133">
        <f t="shared" si="3"/>
        <v>0</v>
      </c>
      <c r="K42" s="137"/>
      <c r="L42" s="133">
        <f t="shared" si="4"/>
        <v>0</v>
      </c>
      <c r="M42" s="1130"/>
      <c r="O42" s="96" t="s">
        <v>87</v>
      </c>
    </row>
    <row r="43" spans="1:15" ht="14.25" x14ac:dyDescent="0.2">
      <c r="A43" s="270" t="s">
        <v>309</v>
      </c>
      <c r="B43" s="108">
        <v>35</v>
      </c>
      <c r="C43" s="271" t="str">
        <f>'BCR.Balance sheet'!C43</f>
        <v>-</v>
      </c>
      <c r="D43" s="133">
        <f t="shared" si="0"/>
        <v>0</v>
      </c>
      <c r="E43" s="271" t="str">
        <f>'BCR.Balance sheet'!E43</f>
        <v>-</v>
      </c>
      <c r="F43" s="133">
        <f t="shared" ref="F43:F74" si="5">SUM(E43)-SUM(G43)</f>
        <v>0</v>
      </c>
      <c r="G43" s="271">
        <f>'BCR.Balance sheet'!G43</f>
        <v>0</v>
      </c>
      <c r="H43" s="133">
        <f t="shared" si="2"/>
        <v>0</v>
      </c>
      <c r="I43" s="1130"/>
      <c r="J43" s="133">
        <f t="shared" si="3"/>
        <v>0</v>
      </c>
      <c r="K43" s="137"/>
      <c r="L43" s="133">
        <f t="shared" si="4"/>
        <v>0</v>
      </c>
      <c r="M43" s="1130"/>
      <c r="O43" s="96" t="s">
        <v>87</v>
      </c>
    </row>
    <row r="44" spans="1:15" ht="14.25" x14ac:dyDescent="0.2">
      <c r="A44" s="272" t="s">
        <v>310</v>
      </c>
      <c r="B44" s="108">
        <v>36</v>
      </c>
      <c r="C44" s="271" t="str">
        <f>'BCR.Balance sheet'!C44</f>
        <v>-</v>
      </c>
      <c r="D44" s="133">
        <f t="shared" si="0"/>
        <v>0</v>
      </c>
      <c r="E44" s="271" t="str">
        <f>'BCR.Balance sheet'!E44</f>
        <v>-</v>
      </c>
      <c r="F44" s="133">
        <f t="shared" si="5"/>
        <v>0</v>
      </c>
      <c r="G44" s="271" t="str">
        <f>'BCR.Balance sheet'!G44</f>
        <v>-</v>
      </c>
      <c r="H44" s="133">
        <f t="shared" si="2"/>
        <v>0</v>
      </c>
      <c r="I44" s="1130"/>
      <c r="J44" s="133">
        <f t="shared" si="3"/>
        <v>0</v>
      </c>
      <c r="K44" s="137" t="s">
        <v>90</v>
      </c>
      <c r="L44" s="133">
        <f t="shared" si="4"/>
        <v>0</v>
      </c>
      <c r="M44" s="1130"/>
      <c r="O44" s="96" t="s">
        <v>87</v>
      </c>
    </row>
    <row r="45" spans="1:15" ht="14.25" x14ac:dyDescent="0.2">
      <c r="A45" s="272" t="s">
        <v>251</v>
      </c>
      <c r="B45" s="108">
        <v>37</v>
      </c>
      <c r="C45" s="271" t="str">
        <f>'BCR.Balance sheet'!C45</f>
        <v>-</v>
      </c>
      <c r="D45" s="133">
        <f t="shared" si="0"/>
        <v>0</v>
      </c>
      <c r="E45" s="271" t="str">
        <f>'BCR.Balance sheet'!E45</f>
        <v>-</v>
      </c>
      <c r="F45" s="133">
        <f t="shared" si="5"/>
        <v>0</v>
      </c>
      <c r="G45" s="271" t="str">
        <f>'BCR.Balance sheet'!G45</f>
        <v>-</v>
      </c>
      <c r="H45" s="133">
        <f t="shared" si="2"/>
        <v>0</v>
      </c>
      <c r="I45" s="1130"/>
      <c r="J45" s="133">
        <f t="shared" si="3"/>
        <v>0</v>
      </c>
      <c r="K45" s="137" t="s">
        <v>90</v>
      </c>
      <c r="L45" s="133">
        <f t="shared" si="4"/>
        <v>0</v>
      </c>
      <c r="M45" s="1130"/>
      <c r="O45" s="96" t="s">
        <v>87</v>
      </c>
    </row>
    <row r="46" spans="1:15" ht="14.25" x14ac:dyDescent="0.2">
      <c r="A46" s="272" t="s">
        <v>311</v>
      </c>
      <c r="B46" s="108">
        <v>38</v>
      </c>
      <c r="C46" s="271" t="str">
        <f>'BCR.Balance sheet'!C46</f>
        <v>-</v>
      </c>
      <c r="D46" s="133">
        <f t="shared" si="0"/>
        <v>0</v>
      </c>
      <c r="E46" s="271" t="str">
        <f>'BCR.Balance sheet'!E46</f>
        <v>-</v>
      </c>
      <c r="F46" s="133">
        <f t="shared" si="5"/>
        <v>0</v>
      </c>
      <c r="G46" s="271" t="str">
        <f>'BCR.Balance sheet'!G46</f>
        <v>-</v>
      </c>
      <c r="H46" s="133">
        <f t="shared" si="2"/>
        <v>0</v>
      </c>
      <c r="I46" s="1130"/>
      <c r="J46" s="133">
        <f t="shared" si="3"/>
        <v>0</v>
      </c>
      <c r="K46" s="137" t="s">
        <v>90</v>
      </c>
      <c r="L46" s="133">
        <f t="shared" si="4"/>
        <v>0</v>
      </c>
      <c r="M46" s="1130"/>
      <c r="O46" s="96" t="s">
        <v>87</v>
      </c>
    </row>
    <row r="47" spans="1:15" ht="14.25" x14ac:dyDescent="0.2">
      <c r="A47" s="272" t="s">
        <v>312</v>
      </c>
      <c r="B47" s="108">
        <v>39</v>
      </c>
      <c r="C47" s="271" t="str">
        <f>'BCR.Balance sheet'!C47</f>
        <v>-</v>
      </c>
      <c r="D47" s="133">
        <f t="shared" si="0"/>
        <v>0</v>
      </c>
      <c r="E47" s="271" t="str">
        <f>'BCR.Balance sheet'!E47</f>
        <v>-</v>
      </c>
      <c r="F47" s="133">
        <f t="shared" si="5"/>
        <v>0</v>
      </c>
      <c r="G47" s="271" t="str">
        <f>'BCR.Balance sheet'!G47</f>
        <v>-</v>
      </c>
      <c r="H47" s="133">
        <f t="shared" si="2"/>
        <v>0</v>
      </c>
      <c r="I47" s="1130"/>
      <c r="J47" s="133">
        <f t="shared" si="3"/>
        <v>0</v>
      </c>
      <c r="K47" s="137" t="s">
        <v>90</v>
      </c>
      <c r="L47" s="133">
        <f t="shared" si="4"/>
        <v>0</v>
      </c>
      <c r="M47" s="1130"/>
      <c r="O47" s="96" t="s">
        <v>87</v>
      </c>
    </row>
    <row r="48" spans="1:15" ht="14.25" x14ac:dyDescent="0.2">
      <c r="A48" s="272" t="s">
        <v>313</v>
      </c>
      <c r="B48" s="108">
        <v>40</v>
      </c>
      <c r="C48" s="271" t="str">
        <f>'BCR.Balance sheet'!C48</f>
        <v>-</v>
      </c>
      <c r="D48" s="133">
        <f t="shared" si="0"/>
        <v>0</v>
      </c>
      <c r="E48" s="271" t="str">
        <f>'BCR.Balance sheet'!E48</f>
        <v>-</v>
      </c>
      <c r="F48" s="133">
        <f t="shared" si="5"/>
        <v>0</v>
      </c>
      <c r="G48" s="271" t="str">
        <f>'BCR.Balance sheet'!G48</f>
        <v>-</v>
      </c>
      <c r="H48" s="133">
        <f t="shared" si="2"/>
        <v>0</v>
      </c>
      <c r="I48" s="1130"/>
      <c r="J48" s="133">
        <f t="shared" si="3"/>
        <v>0</v>
      </c>
      <c r="K48" s="137" t="s">
        <v>90</v>
      </c>
      <c r="L48" s="133">
        <f t="shared" si="4"/>
        <v>0</v>
      </c>
      <c r="M48" s="1130"/>
      <c r="O48" s="96" t="s">
        <v>87</v>
      </c>
    </row>
    <row r="49" spans="1:15" ht="14.25" x14ac:dyDescent="0.2">
      <c r="A49" s="273" t="s">
        <v>314</v>
      </c>
      <c r="B49" s="223">
        <v>41</v>
      </c>
      <c r="C49" s="271" t="str">
        <f>'BCR.Balance sheet'!C49</f>
        <v>-</v>
      </c>
      <c r="D49" s="133">
        <f t="shared" si="0"/>
        <v>0</v>
      </c>
      <c r="E49" s="271" t="str">
        <f>'BCR.Balance sheet'!E49</f>
        <v>-</v>
      </c>
      <c r="F49" s="133">
        <f t="shared" si="5"/>
        <v>0</v>
      </c>
      <c r="G49" s="271" t="str">
        <f>'BCR.Balance sheet'!G49</f>
        <v>-</v>
      </c>
      <c r="H49" s="133">
        <f t="shared" si="2"/>
        <v>0</v>
      </c>
      <c r="I49" s="1130"/>
      <c r="J49" s="133">
        <f t="shared" si="3"/>
        <v>0</v>
      </c>
      <c r="K49" s="137" t="s">
        <v>90</v>
      </c>
      <c r="L49" s="133">
        <f t="shared" si="4"/>
        <v>0</v>
      </c>
      <c r="M49" s="1130"/>
      <c r="O49" s="96" t="s">
        <v>87</v>
      </c>
    </row>
    <row r="50" spans="1:15" ht="15" x14ac:dyDescent="0.25">
      <c r="A50" s="311" t="s">
        <v>315</v>
      </c>
      <c r="B50" s="223">
        <v>42</v>
      </c>
      <c r="C50" s="1132" t="str">
        <f>'BCR.Balance sheet'!C50</f>
        <v>-</v>
      </c>
      <c r="D50" s="312"/>
      <c r="E50" s="226" t="str">
        <f>C50</f>
        <v>-</v>
      </c>
      <c r="F50" s="226">
        <f t="shared" si="5"/>
        <v>0</v>
      </c>
      <c r="G50" s="1132" t="str">
        <f>'BCR.Balance sheet'!G50</f>
        <v>-</v>
      </c>
      <c r="H50" s="226">
        <f t="shared" si="2"/>
        <v>0</v>
      </c>
      <c r="I50" s="1130"/>
      <c r="J50" s="226">
        <f t="shared" si="3"/>
        <v>0</v>
      </c>
      <c r="K50" s="144" t="s">
        <v>90</v>
      </c>
      <c r="L50" s="226">
        <f t="shared" si="4"/>
        <v>0</v>
      </c>
      <c r="M50" s="1130"/>
      <c r="O50" s="96" t="s">
        <v>87</v>
      </c>
    </row>
    <row r="51" spans="1:15" ht="15" x14ac:dyDescent="0.25">
      <c r="A51" s="128" t="s">
        <v>316</v>
      </c>
      <c r="B51" s="223">
        <v>43</v>
      </c>
      <c r="C51" s="133">
        <f>SUM(C52:C62)</f>
        <v>0</v>
      </c>
      <c r="D51" s="133">
        <f t="shared" ref="D51:D90" si="6">SUM(C51)-SUM(E51)</f>
        <v>0</v>
      </c>
      <c r="E51" s="133">
        <f>SUM(E52:E62)</f>
        <v>0</v>
      </c>
      <c r="F51" s="133">
        <f t="shared" si="5"/>
        <v>0</v>
      </c>
      <c r="G51" s="133">
        <f>SUM(G52:G62)</f>
        <v>0</v>
      </c>
      <c r="H51" s="133">
        <f t="shared" si="2"/>
        <v>0</v>
      </c>
      <c r="I51" s="1130"/>
      <c r="J51" s="133">
        <f t="shared" si="3"/>
        <v>0</v>
      </c>
      <c r="K51" s="127">
        <f>SUM(K52:K62)</f>
        <v>0</v>
      </c>
      <c r="L51" s="133">
        <f t="shared" si="4"/>
        <v>0</v>
      </c>
      <c r="M51" s="1130"/>
      <c r="O51" s="96" t="s">
        <v>87</v>
      </c>
    </row>
    <row r="52" spans="1:15" ht="14.25" x14ac:dyDescent="0.2">
      <c r="A52" s="272" t="s">
        <v>317</v>
      </c>
      <c r="B52" s="108">
        <v>44</v>
      </c>
      <c r="C52" s="271" t="str">
        <f>'BCR.Balance sheet'!C52</f>
        <v>-</v>
      </c>
      <c r="D52" s="133">
        <f t="shared" si="6"/>
        <v>0</v>
      </c>
      <c r="E52" s="271" t="str">
        <f>'BCR.Balance sheet'!E52</f>
        <v>-</v>
      </c>
      <c r="F52" s="133">
        <f t="shared" si="5"/>
        <v>0</v>
      </c>
      <c r="G52" s="271" t="str">
        <f>'BCR.Balance sheet'!G52</f>
        <v>-</v>
      </c>
      <c r="H52" s="133">
        <f t="shared" si="2"/>
        <v>0</v>
      </c>
      <c r="I52" s="1130"/>
      <c r="J52" s="133">
        <f t="shared" si="3"/>
        <v>0</v>
      </c>
      <c r="K52" s="137" t="s">
        <v>90</v>
      </c>
      <c r="L52" s="133">
        <f t="shared" si="4"/>
        <v>0</v>
      </c>
      <c r="M52" s="1130"/>
      <c r="O52" s="96" t="s">
        <v>87</v>
      </c>
    </row>
    <row r="53" spans="1:15" ht="14.25" x14ac:dyDescent="0.2">
      <c r="A53" s="272" t="s">
        <v>318</v>
      </c>
      <c r="B53" s="108">
        <v>45</v>
      </c>
      <c r="C53" s="271" t="str">
        <f>'BCR.Balance sheet'!C53</f>
        <v>-</v>
      </c>
      <c r="D53" s="133">
        <f t="shared" si="6"/>
        <v>0</v>
      </c>
      <c r="E53" s="271" t="str">
        <f>'BCR.Balance sheet'!E53</f>
        <v>-</v>
      </c>
      <c r="F53" s="133">
        <f t="shared" si="5"/>
        <v>0</v>
      </c>
      <c r="G53" s="271" t="str">
        <f>'BCR.Balance sheet'!G53</f>
        <v>-</v>
      </c>
      <c r="H53" s="133">
        <f t="shared" si="2"/>
        <v>0</v>
      </c>
      <c r="I53" s="1130"/>
      <c r="J53" s="133">
        <f t="shared" si="3"/>
        <v>0</v>
      </c>
      <c r="K53" s="137" t="s">
        <v>90</v>
      </c>
      <c r="L53" s="133">
        <f t="shared" si="4"/>
        <v>0</v>
      </c>
      <c r="M53" s="1130"/>
      <c r="O53" s="96" t="s">
        <v>87</v>
      </c>
    </row>
    <row r="54" spans="1:15" ht="14.25" x14ac:dyDescent="0.2">
      <c r="A54" s="272" t="s">
        <v>319</v>
      </c>
      <c r="B54" s="108">
        <v>46</v>
      </c>
      <c r="C54" s="271" t="str">
        <f>'BCR.Balance sheet'!C54</f>
        <v>-</v>
      </c>
      <c r="D54" s="133">
        <f t="shared" si="6"/>
        <v>0</v>
      </c>
      <c r="E54" s="271" t="str">
        <f>'BCR.Balance sheet'!E54</f>
        <v>-</v>
      </c>
      <c r="F54" s="133">
        <f t="shared" si="5"/>
        <v>0</v>
      </c>
      <c r="G54" s="271" t="str">
        <f>'BCR.Balance sheet'!G54</f>
        <v>-</v>
      </c>
      <c r="H54" s="133">
        <f t="shared" si="2"/>
        <v>0</v>
      </c>
      <c r="I54" s="1130"/>
      <c r="J54" s="133">
        <f t="shared" si="3"/>
        <v>0</v>
      </c>
      <c r="K54" s="137" t="s">
        <v>90</v>
      </c>
      <c r="L54" s="133">
        <f t="shared" si="4"/>
        <v>0</v>
      </c>
      <c r="M54" s="1130"/>
      <c r="O54" s="96" t="s">
        <v>87</v>
      </c>
    </row>
    <row r="55" spans="1:15" ht="14.25" x14ac:dyDescent="0.2">
      <c r="A55" s="272" t="s">
        <v>320</v>
      </c>
      <c r="B55" s="108">
        <v>47</v>
      </c>
      <c r="C55" s="271" t="str">
        <f>'BCR.Balance sheet'!C55</f>
        <v>-</v>
      </c>
      <c r="D55" s="133">
        <f t="shared" si="6"/>
        <v>0</v>
      </c>
      <c r="E55" s="271" t="str">
        <f>'BCR.Balance sheet'!E55</f>
        <v>-</v>
      </c>
      <c r="F55" s="133">
        <f t="shared" si="5"/>
        <v>0</v>
      </c>
      <c r="G55" s="271" t="str">
        <f>'BCR.Balance sheet'!G55</f>
        <v>-</v>
      </c>
      <c r="H55" s="133">
        <f t="shared" si="2"/>
        <v>0</v>
      </c>
      <c r="I55" s="1130"/>
      <c r="J55" s="133">
        <f t="shared" si="3"/>
        <v>0</v>
      </c>
      <c r="K55" s="137" t="s">
        <v>90</v>
      </c>
      <c r="L55" s="133">
        <f t="shared" si="4"/>
        <v>0</v>
      </c>
      <c r="M55" s="1130"/>
      <c r="O55" s="96" t="s">
        <v>87</v>
      </c>
    </row>
    <row r="56" spans="1:15" ht="14.25" x14ac:dyDescent="0.2">
      <c r="A56" s="272" t="s">
        <v>321</v>
      </c>
      <c r="B56" s="108">
        <v>48</v>
      </c>
      <c r="C56" s="271" t="str">
        <f>'BCR.Balance sheet'!C56</f>
        <v>-</v>
      </c>
      <c r="D56" s="133">
        <f t="shared" si="6"/>
        <v>0</v>
      </c>
      <c r="E56" s="271" t="str">
        <f>'BCR.Balance sheet'!E56</f>
        <v>-</v>
      </c>
      <c r="F56" s="133">
        <f t="shared" si="5"/>
        <v>0</v>
      </c>
      <c r="G56" s="271" t="str">
        <f>'BCR.Balance sheet'!G56</f>
        <v>-</v>
      </c>
      <c r="H56" s="133">
        <f t="shared" si="2"/>
        <v>0</v>
      </c>
      <c r="I56" s="1130"/>
      <c r="J56" s="133">
        <f t="shared" si="3"/>
        <v>0</v>
      </c>
      <c r="K56" s="137" t="s">
        <v>90</v>
      </c>
      <c r="L56" s="133">
        <f t="shared" si="4"/>
        <v>0</v>
      </c>
      <c r="M56" s="1130"/>
      <c r="O56" s="96" t="s">
        <v>87</v>
      </c>
    </row>
    <row r="57" spans="1:15" ht="14.25" x14ac:dyDescent="0.2">
      <c r="A57" s="272" t="s">
        <v>313</v>
      </c>
      <c r="B57" s="108">
        <v>49</v>
      </c>
      <c r="C57" s="271" t="str">
        <f>'BCR.Balance sheet'!C57</f>
        <v>-</v>
      </c>
      <c r="D57" s="133">
        <f t="shared" si="6"/>
        <v>0</v>
      </c>
      <c r="E57" s="271" t="str">
        <f>'BCR.Balance sheet'!E57</f>
        <v>-</v>
      </c>
      <c r="F57" s="133">
        <f t="shared" si="5"/>
        <v>0</v>
      </c>
      <c r="G57" s="271" t="str">
        <f>'BCR.Balance sheet'!G57</f>
        <v>-</v>
      </c>
      <c r="H57" s="133">
        <f t="shared" si="2"/>
        <v>0</v>
      </c>
      <c r="I57" s="1130"/>
      <c r="J57" s="133">
        <f t="shared" si="3"/>
        <v>0</v>
      </c>
      <c r="K57" s="137" t="s">
        <v>90</v>
      </c>
      <c r="L57" s="133">
        <f t="shared" si="4"/>
        <v>0</v>
      </c>
      <c r="M57" s="1130"/>
      <c r="O57" s="96" t="s">
        <v>87</v>
      </c>
    </row>
    <row r="58" spans="1:15" ht="14.25" x14ac:dyDescent="0.2">
      <c r="A58" s="272" t="s">
        <v>314</v>
      </c>
      <c r="B58" s="108">
        <v>50</v>
      </c>
      <c r="C58" s="271" t="str">
        <f>'BCR.Balance sheet'!C58</f>
        <v>-</v>
      </c>
      <c r="D58" s="133">
        <f t="shared" si="6"/>
        <v>0</v>
      </c>
      <c r="E58" s="271" t="str">
        <f>'BCR.Balance sheet'!E58</f>
        <v>-</v>
      </c>
      <c r="F58" s="133">
        <f t="shared" si="5"/>
        <v>0</v>
      </c>
      <c r="G58" s="271" t="str">
        <f>'BCR.Balance sheet'!G58</f>
        <v>-</v>
      </c>
      <c r="H58" s="133">
        <f t="shared" si="2"/>
        <v>0</v>
      </c>
      <c r="I58" s="1130"/>
      <c r="J58" s="133">
        <f t="shared" si="3"/>
        <v>0</v>
      </c>
      <c r="K58" s="137" t="s">
        <v>90</v>
      </c>
      <c r="L58" s="133">
        <f t="shared" si="4"/>
        <v>0</v>
      </c>
      <c r="M58" s="1130"/>
      <c r="O58" s="96" t="s">
        <v>87</v>
      </c>
    </row>
    <row r="59" spans="1:15" ht="14.25" x14ac:dyDescent="0.2">
      <c r="A59" s="272" t="s">
        <v>322</v>
      </c>
      <c r="B59" s="108">
        <v>51</v>
      </c>
      <c r="C59" s="271" t="str">
        <f>'BCR.Balance sheet'!C59</f>
        <v>-</v>
      </c>
      <c r="D59" s="133">
        <f t="shared" si="6"/>
        <v>0</v>
      </c>
      <c r="E59" s="271" t="str">
        <f>'BCR.Balance sheet'!E59</f>
        <v>-</v>
      </c>
      <c r="F59" s="133">
        <f t="shared" si="5"/>
        <v>0</v>
      </c>
      <c r="G59" s="271" t="str">
        <f>'BCR.Balance sheet'!G59</f>
        <v>-</v>
      </c>
      <c r="H59" s="133">
        <f t="shared" si="2"/>
        <v>0</v>
      </c>
      <c r="I59" s="1130"/>
      <c r="J59" s="133">
        <f t="shared" si="3"/>
        <v>0</v>
      </c>
      <c r="K59" s="137" t="s">
        <v>90</v>
      </c>
      <c r="L59" s="133">
        <f t="shared" si="4"/>
        <v>0</v>
      </c>
      <c r="M59" s="1130"/>
      <c r="O59" s="96" t="s">
        <v>87</v>
      </c>
    </row>
    <row r="60" spans="1:15" ht="14.25" x14ac:dyDescent="0.2">
      <c r="A60" s="272" t="s">
        <v>323</v>
      </c>
      <c r="B60" s="108">
        <v>52</v>
      </c>
      <c r="C60" s="271" t="str">
        <f>'BCR.Balance sheet'!C60</f>
        <v>-</v>
      </c>
      <c r="D60" s="133">
        <f t="shared" si="6"/>
        <v>0</v>
      </c>
      <c r="E60" s="271" t="str">
        <f>'BCR.Balance sheet'!E60</f>
        <v>-</v>
      </c>
      <c r="F60" s="133">
        <f t="shared" si="5"/>
        <v>0</v>
      </c>
      <c r="G60" s="271" t="str">
        <f>'BCR.Balance sheet'!G60</f>
        <v>-</v>
      </c>
      <c r="H60" s="133">
        <f t="shared" si="2"/>
        <v>0</v>
      </c>
      <c r="I60" s="1130"/>
      <c r="J60" s="133">
        <f t="shared" si="3"/>
        <v>0</v>
      </c>
      <c r="K60" s="137" t="s">
        <v>90</v>
      </c>
      <c r="L60" s="133">
        <f t="shared" si="4"/>
        <v>0</v>
      </c>
      <c r="M60" s="1130"/>
      <c r="O60" s="96" t="s">
        <v>87</v>
      </c>
    </row>
    <row r="61" spans="1:15" ht="14.25" x14ac:dyDescent="0.2">
      <c r="A61" s="272" t="s">
        <v>324</v>
      </c>
      <c r="B61" s="108">
        <v>53</v>
      </c>
      <c r="C61" s="271" t="str">
        <f>'BCR.Balance sheet'!C61</f>
        <v>-</v>
      </c>
      <c r="D61" s="133">
        <f t="shared" si="6"/>
        <v>0</v>
      </c>
      <c r="E61" s="271" t="str">
        <f>'BCR.Balance sheet'!E61</f>
        <v>-</v>
      </c>
      <c r="F61" s="133">
        <f t="shared" si="5"/>
        <v>0</v>
      </c>
      <c r="G61" s="271" t="str">
        <f>'BCR.Balance sheet'!G61</f>
        <v>-</v>
      </c>
      <c r="H61" s="133">
        <f t="shared" si="2"/>
        <v>0</v>
      </c>
      <c r="I61" s="1130"/>
      <c r="J61" s="133">
        <f t="shared" si="3"/>
        <v>0</v>
      </c>
      <c r="K61" s="137" t="s">
        <v>90</v>
      </c>
      <c r="L61" s="133">
        <f t="shared" si="4"/>
        <v>0</v>
      </c>
      <c r="M61" s="1130"/>
      <c r="O61" s="96" t="s">
        <v>87</v>
      </c>
    </row>
    <row r="62" spans="1:15" ht="14.25" x14ac:dyDescent="0.2">
      <c r="A62" s="273" t="s">
        <v>325</v>
      </c>
      <c r="B62" s="108">
        <v>54</v>
      </c>
      <c r="C62" s="271" t="str">
        <f>'BCR.Balance sheet'!C62</f>
        <v>-</v>
      </c>
      <c r="D62" s="133">
        <f t="shared" si="6"/>
        <v>0</v>
      </c>
      <c r="E62" s="271" t="str">
        <f>'BCR.Balance sheet'!E62</f>
        <v>-</v>
      </c>
      <c r="F62" s="133">
        <f t="shared" si="5"/>
        <v>0</v>
      </c>
      <c r="G62" s="271" t="str">
        <f>'BCR.Balance sheet'!G62</f>
        <v>-</v>
      </c>
      <c r="H62" s="133">
        <f t="shared" si="2"/>
        <v>0</v>
      </c>
      <c r="I62" s="1130"/>
      <c r="J62" s="133">
        <f t="shared" si="3"/>
        <v>0</v>
      </c>
      <c r="K62" s="139" t="s">
        <v>90</v>
      </c>
      <c r="L62" s="133">
        <f t="shared" si="4"/>
        <v>0</v>
      </c>
      <c r="M62" s="1130"/>
      <c r="O62" s="96" t="s">
        <v>87</v>
      </c>
    </row>
    <row r="63" spans="1:15" ht="15" x14ac:dyDescent="0.25">
      <c r="A63" s="128" t="s">
        <v>326</v>
      </c>
      <c r="B63" s="108">
        <v>55</v>
      </c>
      <c r="C63" s="127">
        <f>SUM(C64,C84,C85:C90)</f>
        <v>0</v>
      </c>
      <c r="D63" s="127">
        <f t="shared" si="6"/>
        <v>0</v>
      </c>
      <c r="E63" s="127">
        <f>SUM(E64,E84,E85:E90)</f>
        <v>0</v>
      </c>
      <c r="F63" s="127">
        <f t="shared" si="5"/>
        <v>0</v>
      </c>
      <c r="G63" s="127">
        <f>SUM(G64,G84,G85:G90)</f>
        <v>0</v>
      </c>
      <c r="H63" s="127">
        <f t="shared" ref="H63:H91" si="7">SUM(G63,$D63)</f>
        <v>0</v>
      </c>
      <c r="I63" s="1130"/>
      <c r="J63" s="127">
        <f t="shared" si="3"/>
        <v>0</v>
      </c>
      <c r="K63" s="127">
        <f>SUM(K64,K84,K85:K90)</f>
        <v>0</v>
      </c>
      <c r="L63" s="127">
        <f t="shared" ref="L63:L91" si="8">SUM(K63,$D63)</f>
        <v>0</v>
      </c>
      <c r="M63" s="1130"/>
      <c r="O63" s="96" t="s">
        <v>87</v>
      </c>
    </row>
    <row r="64" spans="1:15" ht="14.25" x14ac:dyDescent="0.2">
      <c r="A64" s="272" t="s">
        <v>327</v>
      </c>
      <c r="B64" s="108">
        <v>56</v>
      </c>
      <c r="C64" s="133">
        <f>SUM(C65,C75,C76,C77,C78,C79,C83)</f>
        <v>0</v>
      </c>
      <c r="D64" s="133">
        <f t="shared" si="6"/>
        <v>0</v>
      </c>
      <c r="E64" s="133">
        <f>SUM(E65,E75,E76,E77,E78,E79,E83)</f>
        <v>0</v>
      </c>
      <c r="F64" s="133">
        <f t="shared" si="5"/>
        <v>0</v>
      </c>
      <c r="G64" s="133">
        <f>SUM(G65,G75,G76,G77,G78,G79,G83)</f>
        <v>0</v>
      </c>
      <c r="H64" s="133">
        <f t="shared" si="7"/>
        <v>0</v>
      </c>
      <c r="I64" s="1130"/>
      <c r="J64" s="133">
        <f t="shared" si="3"/>
        <v>0</v>
      </c>
      <c r="K64" s="133">
        <f>SUM(K65,K75,K76,K77,K78,K79,K83)</f>
        <v>0</v>
      </c>
      <c r="L64" s="133">
        <f t="shared" si="8"/>
        <v>0</v>
      </c>
      <c r="M64" s="1130"/>
      <c r="O64" s="96" t="s">
        <v>87</v>
      </c>
    </row>
    <row r="65" spans="1:15" ht="14.25" x14ac:dyDescent="0.2">
      <c r="A65" s="270" t="s">
        <v>161</v>
      </c>
      <c r="B65" s="108">
        <v>57</v>
      </c>
      <c r="C65" s="133">
        <f>SUM(C66:C74)</f>
        <v>0</v>
      </c>
      <c r="D65" s="133">
        <f t="shared" si="6"/>
        <v>0</v>
      </c>
      <c r="E65" s="133">
        <f>SUM(E66:E74)</f>
        <v>0</v>
      </c>
      <c r="F65" s="133">
        <f t="shared" si="5"/>
        <v>0</v>
      </c>
      <c r="G65" s="133">
        <f>SUM(G66:G74)</f>
        <v>0</v>
      </c>
      <c r="H65" s="133">
        <f t="shared" si="7"/>
        <v>0</v>
      </c>
      <c r="I65" s="1130"/>
      <c r="J65" s="133">
        <f t="shared" si="3"/>
        <v>0</v>
      </c>
      <c r="K65" s="133">
        <f>SUM(K66:K74)</f>
        <v>0</v>
      </c>
      <c r="L65" s="133">
        <f t="shared" si="8"/>
        <v>0</v>
      </c>
      <c r="M65" s="1130"/>
      <c r="O65" s="96" t="s">
        <v>87</v>
      </c>
    </row>
    <row r="66" spans="1:15" ht="14.25" x14ac:dyDescent="0.2">
      <c r="A66" s="314" t="s">
        <v>328</v>
      </c>
      <c r="B66" s="108">
        <v>58</v>
      </c>
      <c r="C66" s="271" t="str">
        <f>'BCR.Balance sheet'!C66</f>
        <v>-</v>
      </c>
      <c r="D66" s="133">
        <f t="shared" si="6"/>
        <v>0</v>
      </c>
      <c r="E66" s="271" t="str">
        <f>'BCR.Balance sheet'!E66</f>
        <v>-</v>
      </c>
      <c r="F66" s="133">
        <f t="shared" si="5"/>
        <v>0</v>
      </c>
      <c r="G66" s="271" t="str">
        <f>'BCR.Balance sheet'!G66</f>
        <v>-</v>
      </c>
      <c r="H66" s="133">
        <f t="shared" si="7"/>
        <v>0</v>
      </c>
      <c r="I66" s="1130"/>
      <c r="J66" s="133">
        <f t="shared" si="3"/>
        <v>0</v>
      </c>
      <c r="K66" s="137" t="s">
        <v>90</v>
      </c>
      <c r="L66" s="133">
        <f t="shared" si="8"/>
        <v>0</v>
      </c>
      <c r="M66" s="1130"/>
      <c r="O66" s="96" t="s">
        <v>87</v>
      </c>
    </row>
    <row r="67" spans="1:15" ht="14.25" x14ac:dyDescent="0.2">
      <c r="A67" s="314" t="s">
        <v>329</v>
      </c>
      <c r="B67" s="108">
        <v>59</v>
      </c>
      <c r="C67" s="271" t="str">
        <f>'BCR.Balance sheet'!C67</f>
        <v>-</v>
      </c>
      <c r="D67" s="133">
        <f t="shared" si="6"/>
        <v>0</v>
      </c>
      <c r="E67" s="271" t="str">
        <f>'BCR.Balance sheet'!E67</f>
        <v>-</v>
      </c>
      <c r="F67" s="133">
        <f t="shared" si="5"/>
        <v>0</v>
      </c>
      <c r="G67" s="271" t="str">
        <f>'BCR.Balance sheet'!G67</f>
        <v>-</v>
      </c>
      <c r="H67" s="133">
        <f t="shared" si="7"/>
        <v>0</v>
      </c>
      <c r="I67" s="1130"/>
      <c r="J67" s="133">
        <f t="shared" si="3"/>
        <v>0</v>
      </c>
      <c r="K67" s="137" t="s">
        <v>90</v>
      </c>
      <c r="L67" s="133">
        <f t="shared" si="8"/>
        <v>0</v>
      </c>
      <c r="M67" s="1130"/>
      <c r="O67" s="96" t="s">
        <v>87</v>
      </c>
    </row>
    <row r="68" spans="1:15" ht="14.25" x14ac:dyDescent="0.2">
      <c r="A68" s="314" t="s">
        <v>330</v>
      </c>
      <c r="B68" s="108">
        <v>60</v>
      </c>
      <c r="C68" s="271" t="str">
        <f>'BCR.Balance sheet'!C68</f>
        <v>-</v>
      </c>
      <c r="D68" s="133">
        <f t="shared" si="6"/>
        <v>0</v>
      </c>
      <c r="E68" s="271" t="str">
        <f>'BCR.Balance sheet'!E68</f>
        <v>-</v>
      </c>
      <c r="F68" s="133">
        <f t="shared" si="5"/>
        <v>0</v>
      </c>
      <c r="G68" s="271" t="str">
        <f>'BCR.Balance sheet'!G68</f>
        <v>-</v>
      </c>
      <c r="H68" s="133">
        <f t="shared" si="7"/>
        <v>0</v>
      </c>
      <c r="I68" s="1130"/>
      <c r="J68" s="133">
        <f t="shared" si="3"/>
        <v>0</v>
      </c>
      <c r="K68" s="137" t="s">
        <v>90</v>
      </c>
      <c r="L68" s="133">
        <f t="shared" si="8"/>
        <v>0</v>
      </c>
      <c r="M68" s="1130"/>
      <c r="O68" s="96" t="s">
        <v>87</v>
      </c>
    </row>
    <row r="69" spans="1:15" ht="14.25" x14ac:dyDescent="0.2">
      <c r="A69" s="314" t="s">
        <v>331</v>
      </c>
      <c r="B69" s="108">
        <v>61</v>
      </c>
      <c r="C69" s="271" t="str">
        <f>'BCR.Balance sheet'!C69</f>
        <v>-</v>
      </c>
      <c r="D69" s="133">
        <f t="shared" si="6"/>
        <v>0</v>
      </c>
      <c r="E69" s="271" t="str">
        <f>'BCR.Balance sheet'!E69</f>
        <v>-</v>
      </c>
      <c r="F69" s="133">
        <f t="shared" si="5"/>
        <v>0</v>
      </c>
      <c r="G69" s="271" t="str">
        <f>'BCR.Balance sheet'!G69</f>
        <v>-</v>
      </c>
      <c r="H69" s="133">
        <f t="shared" si="7"/>
        <v>0</v>
      </c>
      <c r="I69" s="1130"/>
      <c r="J69" s="133">
        <f t="shared" si="3"/>
        <v>0</v>
      </c>
      <c r="K69" s="137" t="s">
        <v>90</v>
      </c>
      <c r="L69" s="133">
        <f t="shared" si="8"/>
        <v>0</v>
      </c>
      <c r="M69" s="1130"/>
      <c r="O69" s="96" t="s">
        <v>87</v>
      </c>
    </row>
    <row r="70" spans="1:15" ht="14.25" x14ac:dyDescent="0.2">
      <c r="A70" s="314" t="s">
        <v>332</v>
      </c>
      <c r="B70" s="108">
        <v>62</v>
      </c>
      <c r="C70" s="271" t="str">
        <f>'BCR.Balance sheet'!C70</f>
        <v>-</v>
      </c>
      <c r="D70" s="133">
        <f t="shared" si="6"/>
        <v>0</v>
      </c>
      <c r="E70" s="271" t="str">
        <f>'BCR.Balance sheet'!E70</f>
        <v>-</v>
      </c>
      <c r="F70" s="133">
        <f t="shared" si="5"/>
        <v>0</v>
      </c>
      <c r="G70" s="271" t="str">
        <f>'BCR.Balance sheet'!G70</f>
        <v>-</v>
      </c>
      <c r="H70" s="133">
        <f t="shared" si="7"/>
        <v>0</v>
      </c>
      <c r="I70" s="1130"/>
      <c r="J70" s="133">
        <f t="shared" si="3"/>
        <v>0</v>
      </c>
      <c r="K70" s="137" t="s">
        <v>90</v>
      </c>
      <c r="L70" s="133">
        <f t="shared" si="8"/>
        <v>0</v>
      </c>
      <c r="M70" s="1130"/>
      <c r="O70" s="96" t="s">
        <v>87</v>
      </c>
    </row>
    <row r="71" spans="1:15" ht="14.25" x14ac:dyDescent="0.2">
      <c r="A71" s="314" t="s">
        <v>333</v>
      </c>
      <c r="B71" s="108">
        <v>63</v>
      </c>
      <c r="C71" s="271" t="str">
        <f>'BCR.Balance sheet'!C71</f>
        <v>-</v>
      </c>
      <c r="D71" s="133">
        <f t="shared" si="6"/>
        <v>0</v>
      </c>
      <c r="E71" s="271" t="str">
        <f>'BCR.Balance sheet'!E71</f>
        <v>-</v>
      </c>
      <c r="F71" s="133">
        <f t="shared" si="5"/>
        <v>0</v>
      </c>
      <c r="G71" s="271" t="str">
        <f>'BCR.Balance sheet'!G71</f>
        <v>-</v>
      </c>
      <c r="H71" s="133">
        <f t="shared" si="7"/>
        <v>0</v>
      </c>
      <c r="I71" s="1130"/>
      <c r="J71" s="133">
        <f t="shared" si="3"/>
        <v>0</v>
      </c>
      <c r="K71" s="137" t="s">
        <v>90</v>
      </c>
      <c r="L71" s="133">
        <f t="shared" si="8"/>
        <v>0</v>
      </c>
      <c r="M71" s="1130"/>
      <c r="O71" s="96" t="s">
        <v>87</v>
      </c>
    </row>
    <row r="72" spans="1:15" ht="14.25" x14ac:dyDescent="0.2">
      <c r="A72" s="314" t="s">
        <v>334</v>
      </c>
      <c r="B72" s="108">
        <v>64</v>
      </c>
      <c r="C72" s="271" t="str">
        <f>'BCR.Balance sheet'!C72</f>
        <v>-</v>
      </c>
      <c r="D72" s="133">
        <f t="shared" si="6"/>
        <v>0</v>
      </c>
      <c r="E72" s="271" t="str">
        <f>'BCR.Balance sheet'!E72</f>
        <v>-</v>
      </c>
      <c r="F72" s="133">
        <f t="shared" si="5"/>
        <v>0</v>
      </c>
      <c r="G72" s="271" t="str">
        <f>'BCR.Balance sheet'!G72</f>
        <v>-</v>
      </c>
      <c r="H72" s="133">
        <f t="shared" si="7"/>
        <v>0</v>
      </c>
      <c r="I72" s="1130"/>
      <c r="J72" s="133">
        <f t="shared" si="3"/>
        <v>0</v>
      </c>
      <c r="K72" s="137" t="s">
        <v>90</v>
      </c>
      <c r="L72" s="133">
        <f t="shared" si="8"/>
        <v>0</v>
      </c>
      <c r="M72" s="1130"/>
      <c r="O72" s="96" t="s">
        <v>87</v>
      </c>
    </row>
    <row r="73" spans="1:15" ht="14.25" x14ac:dyDescent="0.2">
      <c r="A73" s="315" t="s">
        <v>335</v>
      </c>
      <c r="B73" s="108">
        <v>65</v>
      </c>
      <c r="C73" s="271" t="str">
        <f>'BCR.Balance sheet'!C73</f>
        <v>-</v>
      </c>
      <c r="D73" s="133">
        <f t="shared" si="6"/>
        <v>0</v>
      </c>
      <c r="E73" s="271" t="str">
        <f>'BCR.Balance sheet'!E73</f>
        <v>-</v>
      </c>
      <c r="F73" s="133">
        <f t="shared" si="5"/>
        <v>0</v>
      </c>
      <c r="G73" s="271" t="str">
        <f>'BCR.Balance sheet'!G73</f>
        <v>-</v>
      </c>
      <c r="H73" s="133">
        <f t="shared" si="7"/>
        <v>0</v>
      </c>
      <c r="I73" s="1130"/>
      <c r="J73" s="133">
        <f t="shared" si="3"/>
        <v>0</v>
      </c>
      <c r="K73" s="137" t="s">
        <v>90</v>
      </c>
      <c r="L73" s="133">
        <f t="shared" si="8"/>
        <v>0</v>
      </c>
      <c r="M73" s="1130"/>
      <c r="O73" s="96" t="s">
        <v>87</v>
      </c>
    </row>
    <row r="74" spans="1:15" ht="14.25" x14ac:dyDescent="0.2">
      <c r="A74" s="315" t="s">
        <v>336</v>
      </c>
      <c r="B74" s="108">
        <v>66</v>
      </c>
      <c r="C74" s="271" t="str">
        <f>'BCR.Balance sheet'!C74</f>
        <v>-</v>
      </c>
      <c r="D74" s="133">
        <f t="shared" si="6"/>
        <v>0</v>
      </c>
      <c r="E74" s="271" t="str">
        <f>'BCR.Balance sheet'!E74</f>
        <v>-</v>
      </c>
      <c r="F74" s="133">
        <f t="shared" si="5"/>
        <v>0</v>
      </c>
      <c r="G74" s="271" t="str">
        <f>'BCR.Balance sheet'!G74</f>
        <v>-</v>
      </c>
      <c r="H74" s="133">
        <f t="shared" si="7"/>
        <v>0</v>
      </c>
      <c r="I74" s="1130"/>
      <c r="J74" s="133">
        <f t="shared" si="3"/>
        <v>0</v>
      </c>
      <c r="K74" s="137" t="s">
        <v>90</v>
      </c>
      <c r="L74" s="133">
        <f t="shared" si="8"/>
        <v>0</v>
      </c>
      <c r="M74" s="1130"/>
      <c r="O74" s="96" t="s">
        <v>87</v>
      </c>
    </row>
    <row r="75" spans="1:15" ht="14.25" x14ac:dyDescent="0.2">
      <c r="A75" s="270" t="s">
        <v>337</v>
      </c>
      <c r="B75" s="108">
        <v>67</v>
      </c>
      <c r="C75" s="271" t="str">
        <f>'BCR.Balance sheet'!C75</f>
        <v>-</v>
      </c>
      <c r="D75" s="133">
        <f t="shared" si="6"/>
        <v>0</v>
      </c>
      <c r="E75" s="271" t="str">
        <f>'BCR.Balance sheet'!E75</f>
        <v>-</v>
      </c>
      <c r="F75" s="133">
        <f t="shared" ref="F75:F90" si="9">SUM(E75)-SUM(G75)</f>
        <v>0</v>
      </c>
      <c r="G75" s="271" t="str">
        <f>'BCR.Balance sheet'!G75</f>
        <v>-</v>
      </c>
      <c r="H75" s="133">
        <f t="shared" si="7"/>
        <v>0</v>
      </c>
      <c r="I75" s="1130"/>
      <c r="J75" s="133">
        <f t="shared" ref="J75:J90" si="10">SUM(E75)-SUM(K75)</f>
        <v>0</v>
      </c>
      <c r="K75" s="137" t="s">
        <v>90</v>
      </c>
      <c r="L75" s="133">
        <f t="shared" si="8"/>
        <v>0</v>
      </c>
      <c r="M75" s="1130"/>
      <c r="O75" s="96" t="s">
        <v>87</v>
      </c>
    </row>
    <row r="76" spans="1:15" ht="14.25" x14ac:dyDescent="0.2">
      <c r="A76" s="270" t="s">
        <v>338</v>
      </c>
      <c r="B76" s="108">
        <v>68</v>
      </c>
      <c r="C76" s="271" t="str">
        <f>'BCR.Balance sheet'!C76</f>
        <v>-</v>
      </c>
      <c r="D76" s="133">
        <f t="shared" si="6"/>
        <v>0</v>
      </c>
      <c r="E76" s="271" t="str">
        <f>'BCR.Balance sheet'!E76</f>
        <v>-</v>
      </c>
      <c r="F76" s="133">
        <f t="shared" si="9"/>
        <v>0</v>
      </c>
      <c r="G76" s="271" t="str">
        <f>'BCR.Balance sheet'!G76</f>
        <v>-</v>
      </c>
      <c r="H76" s="133">
        <f t="shared" si="7"/>
        <v>0</v>
      </c>
      <c r="I76" s="1130"/>
      <c r="J76" s="133">
        <f t="shared" si="10"/>
        <v>0</v>
      </c>
      <c r="K76" s="137" t="s">
        <v>90</v>
      </c>
      <c r="L76" s="133">
        <f t="shared" si="8"/>
        <v>0</v>
      </c>
      <c r="M76" s="1130"/>
      <c r="O76" s="96" t="s">
        <v>87</v>
      </c>
    </row>
    <row r="77" spans="1:15" ht="14.25" x14ac:dyDescent="0.2">
      <c r="A77" s="270" t="s">
        <v>339</v>
      </c>
      <c r="B77" s="108">
        <v>69</v>
      </c>
      <c r="C77" s="271" t="str">
        <f>'BCR.Balance sheet'!C77</f>
        <v>-</v>
      </c>
      <c r="D77" s="133">
        <f t="shared" si="6"/>
        <v>0</v>
      </c>
      <c r="E77" s="271" t="str">
        <f>'BCR.Balance sheet'!E77</f>
        <v>-</v>
      </c>
      <c r="F77" s="133">
        <f t="shared" si="9"/>
        <v>0</v>
      </c>
      <c r="G77" s="271" t="str">
        <f>'BCR.Balance sheet'!G77</f>
        <v>-</v>
      </c>
      <c r="H77" s="133">
        <f t="shared" si="7"/>
        <v>0</v>
      </c>
      <c r="I77" s="1130"/>
      <c r="J77" s="133">
        <f t="shared" si="10"/>
        <v>0</v>
      </c>
      <c r="K77" s="137" t="s">
        <v>90</v>
      </c>
      <c r="L77" s="133">
        <f t="shared" si="8"/>
        <v>0</v>
      </c>
      <c r="M77" s="1130"/>
      <c r="O77" s="96" t="s">
        <v>87</v>
      </c>
    </row>
    <row r="78" spans="1:15" ht="14.25" x14ac:dyDescent="0.2">
      <c r="A78" s="270" t="s">
        <v>159</v>
      </c>
      <c r="B78" s="108">
        <v>70</v>
      </c>
      <c r="C78" s="271" t="str">
        <f>'BCR.Balance sheet'!C78</f>
        <v>-</v>
      </c>
      <c r="D78" s="133">
        <f t="shared" si="6"/>
        <v>0</v>
      </c>
      <c r="E78" s="271" t="str">
        <f>'BCR.Balance sheet'!E78</f>
        <v>-</v>
      </c>
      <c r="F78" s="133">
        <f t="shared" si="9"/>
        <v>0</v>
      </c>
      <c r="G78" s="271" t="str">
        <f>'BCR.Balance sheet'!G78</f>
        <v>-</v>
      </c>
      <c r="H78" s="133">
        <f t="shared" si="7"/>
        <v>0</v>
      </c>
      <c r="I78" s="1130"/>
      <c r="J78" s="133">
        <f t="shared" si="10"/>
        <v>0</v>
      </c>
      <c r="K78" s="137" t="s">
        <v>90</v>
      </c>
      <c r="L78" s="133">
        <f t="shared" si="8"/>
        <v>0</v>
      </c>
      <c r="M78" s="1130"/>
      <c r="O78" s="96" t="s">
        <v>87</v>
      </c>
    </row>
    <row r="79" spans="1:15" ht="14.25" x14ac:dyDescent="0.2">
      <c r="A79" s="270" t="s">
        <v>340</v>
      </c>
      <c r="B79" s="108">
        <v>71</v>
      </c>
      <c r="C79" s="133">
        <f>SUM(C80:C82)</f>
        <v>0</v>
      </c>
      <c r="D79" s="133">
        <f t="shared" si="6"/>
        <v>0</v>
      </c>
      <c r="E79" s="133">
        <f>SUM(E80:E82)</f>
        <v>0</v>
      </c>
      <c r="F79" s="133">
        <f t="shared" si="9"/>
        <v>0</v>
      </c>
      <c r="G79" s="133">
        <f>SUM(G80:G82)</f>
        <v>0</v>
      </c>
      <c r="H79" s="133">
        <f t="shared" si="7"/>
        <v>0</v>
      </c>
      <c r="I79" s="1130"/>
      <c r="J79" s="133">
        <f t="shared" si="10"/>
        <v>0</v>
      </c>
      <c r="K79" s="133">
        <f>SUM(K80:K82)</f>
        <v>0</v>
      </c>
      <c r="L79" s="133">
        <f t="shared" si="8"/>
        <v>0</v>
      </c>
      <c r="M79" s="1130"/>
      <c r="O79" s="96" t="s">
        <v>87</v>
      </c>
    </row>
    <row r="80" spans="1:15" ht="14.25" x14ac:dyDescent="0.2">
      <c r="A80" s="314" t="s">
        <v>341</v>
      </c>
      <c r="B80" s="108">
        <v>72</v>
      </c>
      <c r="C80" s="271" t="str">
        <f>'BCR.Balance sheet'!C80</f>
        <v>-</v>
      </c>
      <c r="D80" s="133">
        <f t="shared" si="6"/>
        <v>0</v>
      </c>
      <c r="E80" s="271" t="str">
        <f>'BCR.Balance sheet'!E80</f>
        <v>-</v>
      </c>
      <c r="F80" s="133">
        <f t="shared" si="9"/>
        <v>0</v>
      </c>
      <c r="G80" s="271" t="str">
        <f>'BCR.Balance sheet'!G80</f>
        <v>-</v>
      </c>
      <c r="H80" s="133">
        <f t="shared" si="7"/>
        <v>0</v>
      </c>
      <c r="I80" s="1130"/>
      <c r="J80" s="133">
        <f t="shared" si="10"/>
        <v>0</v>
      </c>
      <c r="K80" s="137" t="s">
        <v>90</v>
      </c>
      <c r="L80" s="133">
        <f t="shared" si="8"/>
        <v>0</v>
      </c>
      <c r="M80" s="1130"/>
      <c r="O80" s="96" t="s">
        <v>87</v>
      </c>
    </row>
    <row r="81" spans="1:15" ht="14.25" x14ac:dyDescent="0.2">
      <c r="A81" s="314" t="s">
        <v>342</v>
      </c>
      <c r="B81" s="108">
        <v>73</v>
      </c>
      <c r="C81" s="271" t="str">
        <f>'BCR.Balance sheet'!C81</f>
        <v>-</v>
      </c>
      <c r="D81" s="133">
        <f t="shared" si="6"/>
        <v>0</v>
      </c>
      <c r="E81" s="271" t="str">
        <f>'BCR.Balance sheet'!E81</f>
        <v>-</v>
      </c>
      <c r="F81" s="133">
        <f t="shared" si="9"/>
        <v>0</v>
      </c>
      <c r="G81" s="271" t="str">
        <f>'BCR.Balance sheet'!G81</f>
        <v>-</v>
      </c>
      <c r="H81" s="133">
        <f t="shared" si="7"/>
        <v>0</v>
      </c>
      <c r="I81" s="1130"/>
      <c r="J81" s="133">
        <f t="shared" si="10"/>
        <v>0</v>
      </c>
      <c r="K81" s="137" t="s">
        <v>90</v>
      </c>
      <c r="L81" s="133">
        <f t="shared" si="8"/>
        <v>0</v>
      </c>
      <c r="M81" s="1130"/>
      <c r="O81" s="96" t="s">
        <v>87</v>
      </c>
    </row>
    <row r="82" spans="1:15" ht="14.25" x14ac:dyDescent="0.2">
      <c r="A82" s="314" t="s">
        <v>343</v>
      </c>
      <c r="B82" s="108">
        <v>74</v>
      </c>
      <c r="C82" s="271" t="str">
        <f>'BCR.Balance sheet'!C82</f>
        <v>-</v>
      </c>
      <c r="D82" s="133">
        <f t="shared" si="6"/>
        <v>0</v>
      </c>
      <c r="E82" s="271" t="str">
        <f>'BCR.Balance sheet'!E82</f>
        <v>-</v>
      </c>
      <c r="F82" s="133">
        <f t="shared" si="9"/>
        <v>0</v>
      </c>
      <c r="G82" s="271" t="str">
        <f>'BCR.Balance sheet'!G82</f>
        <v>-</v>
      </c>
      <c r="H82" s="133">
        <f t="shared" si="7"/>
        <v>0</v>
      </c>
      <c r="I82" s="1130"/>
      <c r="J82" s="133">
        <f t="shared" si="10"/>
        <v>0</v>
      </c>
      <c r="K82" s="137" t="s">
        <v>90</v>
      </c>
      <c r="L82" s="133">
        <f t="shared" si="8"/>
        <v>0</v>
      </c>
      <c r="M82" s="1130"/>
      <c r="O82" s="96" t="s">
        <v>87</v>
      </c>
    </row>
    <row r="83" spans="1:15" ht="14.25" x14ac:dyDescent="0.2">
      <c r="A83" s="270" t="s">
        <v>344</v>
      </c>
      <c r="B83" s="108">
        <v>75</v>
      </c>
      <c r="C83" s="271" t="str">
        <f>'BCR.Balance sheet'!C83</f>
        <v>-</v>
      </c>
      <c r="D83" s="133">
        <f t="shared" si="6"/>
        <v>0</v>
      </c>
      <c r="E83" s="271" t="str">
        <f>'BCR.Balance sheet'!E83</f>
        <v>-</v>
      </c>
      <c r="F83" s="133">
        <f t="shared" si="9"/>
        <v>0</v>
      </c>
      <c r="G83" s="271" t="str">
        <f>'BCR.Balance sheet'!G83</f>
        <v>-</v>
      </c>
      <c r="H83" s="133">
        <f t="shared" si="7"/>
        <v>0</v>
      </c>
      <c r="I83" s="1130"/>
      <c r="J83" s="133">
        <f t="shared" si="10"/>
        <v>0</v>
      </c>
      <c r="K83" s="137" t="s">
        <v>90</v>
      </c>
      <c r="L83" s="133">
        <f t="shared" si="8"/>
        <v>0</v>
      </c>
      <c r="M83" s="1130"/>
      <c r="O83" s="96" t="s">
        <v>87</v>
      </c>
    </row>
    <row r="84" spans="1:15" ht="14.25" x14ac:dyDescent="0.2">
      <c r="A84" s="272" t="s">
        <v>345</v>
      </c>
      <c r="B84" s="108">
        <v>76</v>
      </c>
      <c r="C84" s="271" t="str">
        <f>'BCR.Balance sheet'!C84</f>
        <v>-</v>
      </c>
      <c r="D84" s="133">
        <f t="shared" si="6"/>
        <v>0</v>
      </c>
      <c r="E84" s="271" t="str">
        <f>'BCR.Balance sheet'!E84</f>
        <v>-</v>
      </c>
      <c r="F84" s="133">
        <f t="shared" si="9"/>
        <v>0</v>
      </c>
      <c r="G84" s="271" t="str">
        <f>'BCR.Balance sheet'!G84</f>
        <v>-</v>
      </c>
      <c r="H84" s="133">
        <f t="shared" si="7"/>
        <v>0</v>
      </c>
      <c r="I84" s="1130"/>
      <c r="J84" s="133">
        <f t="shared" si="10"/>
        <v>0</v>
      </c>
      <c r="K84" s="137" t="s">
        <v>90</v>
      </c>
      <c r="L84" s="133">
        <f t="shared" si="8"/>
        <v>0</v>
      </c>
      <c r="M84" s="1130"/>
      <c r="O84" s="96" t="s">
        <v>87</v>
      </c>
    </row>
    <row r="85" spans="1:15" ht="14.25" x14ac:dyDescent="0.2">
      <c r="A85" s="272" t="s">
        <v>160</v>
      </c>
      <c r="B85" s="108">
        <v>77</v>
      </c>
      <c r="C85" s="271" t="str">
        <f>'BCR.Balance sheet'!C85</f>
        <v>-</v>
      </c>
      <c r="D85" s="133">
        <f t="shared" si="6"/>
        <v>0</v>
      </c>
      <c r="E85" s="271" t="str">
        <f>'BCR.Balance sheet'!E85</f>
        <v>-</v>
      </c>
      <c r="F85" s="133">
        <f t="shared" si="9"/>
        <v>0</v>
      </c>
      <c r="G85" s="271" t="str">
        <f>'BCR.Balance sheet'!G85</f>
        <v>-</v>
      </c>
      <c r="H85" s="133">
        <f t="shared" si="7"/>
        <v>0</v>
      </c>
      <c r="I85" s="1130"/>
      <c r="J85" s="133">
        <f t="shared" si="10"/>
        <v>0</v>
      </c>
      <c r="K85" s="137" t="s">
        <v>90</v>
      </c>
      <c r="L85" s="133">
        <f t="shared" si="8"/>
        <v>0</v>
      </c>
      <c r="M85" s="1130"/>
      <c r="O85" s="96" t="s">
        <v>87</v>
      </c>
    </row>
    <row r="86" spans="1:15" ht="14.25" x14ac:dyDescent="0.2">
      <c r="A86" s="272" t="s">
        <v>346</v>
      </c>
      <c r="B86" s="108">
        <v>78</v>
      </c>
      <c r="C86" s="271" t="str">
        <f>'BCR.Balance sheet'!C86</f>
        <v>-</v>
      </c>
      <c r="D86" s="133">
        <f t="shared" si="6"/>
        <v>0</v>
      </c>
      <c r="E86" s="271" t="str">
        <f>'BCR.Balance sheet'!E86</f>
        <v>-</v>
      </c>
      <c r="F86" s="133">
        <f t="shared" si="9"/>
        <v>0</v>
      </c>
      <c r="G86" s="271" t="str">
        <f>'BCR.Balance sheet'!G86</f>
        <v>-</v>
      </c>
      <c r="H86" s="133">
        <f t="shared" si="7"/>
        <v>0</v>
      </c>
      <c r="I86" s="1130"/>
      <c r="J86" s="133">
        <f t="shared" si="10"/>
        <v>0</v>
      </c>
      <c r="K86" s="137" t="s">
        <v>90</v>
      </c>
      <c r="L86" s="133">
        <f t="shared" si="8"/>
        <v>0</v>
      </c>
      <c r="M86" s="1130"/>
      <c r="O86" s="96" t="s">
        <v>87</v>
      </c>
    </row>
    <row r="87" spans="1:15" ht="14.25" x14ac:dyDescent="0.2">
      <c r="A87" s="272" t="s">
        <v>347</v>
      </c>
      <c r="B87" s="108">
        <v>79</v>
      </c>
      <c r="C87" s="271" t="str">
        <f>'BCR.Balance sheet'!C87</f>
        <v>-</v>
      </c>
      <c r="D87" s="133">
        <f t="shared" si="6"/>
        <v>0</v>
      </c>
      <c r="E87" s="271" t="str">
        <f>'BCR.Balance sheet'!E87</f>
        <v>-</v>
      </c>
      <c r="F87" s="133">
        <f t="shared" si="9"/>
        <v>0</v>
      </c>
      <c r="G87" s="271" t="str">
        <f>'BCR.Balance sheet'!G87</f>
        <v>-</v>
      </c>
      <c r="H87" s="133">
        <f t="shared" si="7"/>
        <v>0</v>
      </c>
      <c r="I87" s="1130"/>
      <c r="J87" s="133">
        <f t="shared" si="10"/>
        <v>0</v>
      </c>
      <c r="K87" s="137" t="s">
        <v>90</v>
      </c>
      <c r="L87" s="133">
        <f t="shared" si="8"/>
        <v>0</v>
      </c>
      <c r="M87" s="1130"/>
      <c r="O87" s="96" t="s">
        <v>87</v>
      </c>
    </row>
    <row r="88" spans="1:15" ht="14.25" x14ac:dyDescent="0.2">
      <c r="A88" s="272" t="s">
        <v>348</v>
      </c>
      <c r="B88" s="108">
        <v>80</v>
      </c>
      <c r="C88" s="271" t="str">
        <f>'BCR.Balance sheet'!C88</f>
        <v>-</v>
      </c>
      <c r="D88" s="133">
        <f t="shared" si="6"/>
        <v>0</v>
      </c>
      <c r="E88" s="271" t="str">
        <f>'BCR.Balance sheet'!E88</f>
        <v>-</v>
      </c>
      <c r="F88" s="133">
        <f t="shared" si="9"/>
        <v>0</v>
      </c>
      <c r="G88" s="271" t="str">
        <f>'BCR.Balance sheet'!G88</f>
        <v>-</v>
      </c>
      <c r="H88" s="133">
        <f t="shared" si="7"/>
        <v>0</v>
      </c>
      <c r="I88" s="1130"/>
      <c r="J88" s="133">
        <f t="shared" si="10"/>
        <v>0</v>
      </c>
      <c r="K88" s="137" t="s">
        <v>90</v>
      </c>
      <c r="L88" s="133">
        <f t="shared" si="8"/>
        <v>0</v>
      </c>
      <c r="M88" s="1130"/>
      <c r="O88" s="96" t="s">
        <v>87</v>
      </c>
    </row>
    <row r="89" spans="1:15" ht="14.25" x14ac:dyDescent="0.2">
      <c r="A89" s="272" t="s">
        <v>349</v>
      </c>
      <c r="B89" s="108">
        <v>81</v>
      </c>
      <c r="C89" s="271" t="str">
        <f>'BCR.Balance sheet'!C89</f>
        <v>-</v>
      </c>
      <c r="D89" s="133">
        <f t="shared" si="6"/>
        <v>0</v>
      </c>
      <c r="E89" s="271" t="str">
        <f>'BCR.Balance sheet'!E89</f>
        <v>-</v>
      </c>
      <c r="F89" s="133">
        <f t="shared" si="9"/>
        <v>0</v>
      </c>
      <c r="G89" s="271" t="str">
        <f>'BCR.Balance sheet'!G89</f>
        <v>-</v>
      </c>
      <c r="H89" s="133">
        <f t="shared" si="7"/>
        <v>0</v>
      </c>
      <c r="I89" s="1130"/>
      <c r="J89" s="133">
        <f t="shared" si="10"/>
        <v>0</v>
      </c>
      <c r="K89" s="137" t="s">
        <v>90</v>
      </c>
      <c r="L89" s="133">
        <f t="shared" si="8"/>
        <v>0</v>
      </c>
      <c r="M89" s="1130"/>
      <c r="O89" s="96" t="s">
        <v>87</v>
      </c>
    </row>
    <row r="90" spans="1:15" ht="14.25" x14ac:dyDescent="0.2">
      <c r="A90" s="272" t="s">
        <v>350</v>
      </c>
      <c r="B90" s="108">
        <v>82</v>
      </c>
      <c r="C90" s="271" t="str">
        <f>'BCR.Balance sheet'!C90</f>
        <v>-</v>
      </c>
      <c r="D90" s="133">
        <f t="shared" si="6"/>
        <v>0</v>
      </c>
      <c r="E90" s="271" t="str">
        <f>'BCR.Balance sheet'!E90</f>
        <v>-</v>
      </c>
      <c r="F90" s="133">
        <f t="shared" si="9"/>
        <v>0</v>
      </c>
      <c r="G90" s="271" t="str">
        <f>'BCR.Balance sheet'!G90</f>
        <v>-</v>
      </c>
      <c r="H90" s="133">
        <f t="shared" si="7"/>
        <v>0</v>
      </c>
      <c r="I90" s="1130"/>
      <c r="J90" s="133">
        <f t="shared" si="10"/>
        <v>0</v>
      </c>
      <c r="K90" s="137" t="s">
        <v>90</v>
      </c>
      <c r="L90" s="133">
        <f t="shared" si="8"/>
        <v>0</v>
      </c>
      <c r="M90" s="1130"/>
      <c r="O90" s="96" t="s">
        <v>87</v>
      </c>
    </row>
    <row r="91" spans="1:15" ht="15" x14ac:dyDescent="0.25">
      <c r="A91" s="311" t="s">
        <v>351</v>
      </c>
      <c r="B91" s="108">
        <v>83</v>
      </c>
      <c r="C91" s="312"/>
      <c r="D91" s="312"/>
      <c r="E91" s="271">
        <f>'BCR.Balance sheet'!E91</f>
        <v>0</v>
      </c>
      <c r="F91" s="226">
        <f>-(SUM(E50)-SUM(E35)-(SUM(G50)-SUM(G35)))</f>
        <v>0</v>
      </c>
      <c r="G91" s="226">
        <f>'BCR.Balance sheet'!G91</f>
        <v>0</v>
      </c>
      <c r="H91" s="226">
        <f t="shared" si="7"/>
        <v>0</v>
      </c>
      <c r="I91" s="1130"/>
      <c r="J91" s="226">
        <f>-(SUM(E50)-SUM(E35)-(SUM(K50)-SUM(K35)))</f>
        <v>0</v>
      </c>
      <c r="K91" s="226">
        <f>(SUM(E50)-SUM(E35)-(SUM(K50)-SUM(K35)))</f>
        <v>0</v>
      </c>
      <c r="L91" s="226">
        <f t="shared" si="8"/>
        <v>0</v>
      </c>
      <c r="M91" s="1130"/>
      <c r="O91" s="96" t="s">
        <v>87</v>
      </c>
    </row>
    <row r="92" spans="1:15" ht="14.25" x14ac:dyDescent="0.2">
      <c r="A92" s="316" t="s">
        <v>352</v>
      </c>
      <c r="B92" s="108">
        <v>84</v>
      </c>
      <c r="C92" s="226">
        <f t="shared" ref="C92:H92" si="11">SUM(C9)-SUM(C50,C51,C63,C91)</f>
        <v>0</v>
      </c>
      <c r="D92" s="226">
        <f t="shared" si="11"/>
        <v>0</v>
      </c>
      <c r="E92" s="226">
        <f t="shared" si="11"/>
        <v>0</v>
      </c>
      <c r="F92" s="226">
        <f t="shared" si="11"/>
        <v>0</v>
      </c>
      <c r="G92" s="226">
        <f t="shared" si="11"/>
        <v>0</v>
      </c>
      <c r="H92" s="226">
        <f t="shared" si="11"/>
        <v>0</v>
      </c>
      <c r="I92" s="110"/>
      <c r="J92" s="226">
        <f>SUM(J9)-SUM(J50,J51,J63,J91)</f>
        <v>0</v>
      </c>
      <c r="K92" s="226">
        <f>SUM(K9)-SUM(K50,K51,K63,K91)</f>
        <v>0</v>
      </c>
      <c r="L92" s="226">
        <f>SUM(L9)-SUM(L50,L51,L63,L91)</f>
        <v>0</v>
      </c>
      <c r="M92" s="110"/>
      <c r="O92" s="96" t="s">
        <v>87</v>
      </c>
    </row>
    <row r="93" spans="1:15" ht="15" x14ac:dyDescent="0.25">
      <c r="A93" s="311" t="s">
        <v>353</v>
      </c>
      <c r="B93" s="119">
        <v>85</v>
      </c>
      <c r="C93" s="226">
        <f t="shared" ref="C93:H93" si="12">SUM(C9)-SUM(C50,C51)</f>
        <v>0</v>
      </c>
      <c r="D93" s="226">
        <f t="shared" si="12"/>
        <v>0</v>
      </c>
      <c r="E93" s="226">
        <f t="shared" si="12"/>
        <v>0</v>
      </c>
      <c r="F93" s="226">
        <f t="shared" si="12"/>
        <v>0</v>
      </c>
      <c r="G93" s="226">
        <f t="shared" si="12"/>
        <v>0</v>
      </c>
      <c r="H93" s="313">
        <f t="shared" si="12"/>
        <v>0</v>
      </c>
      <c r="J93" s="226">
        <f>SUM(J9)-SUM(J50,J51)</f>
        <v>0</v>
      </c>
      <c r="K93" s="226">
        <f>SUM(K9)-SUM(K50,K51)</f>
        <v>0</v>
      </c>
      <c r="L93" s="313">
        <f>SUM(L9)-SUM(L50,L51)</f>
        <v>0</v>
      </c>
      <c r="O93" s="96" t="s">
        <v>87</v>
      </c>
    </row>
    <row r="94" spans="1:15" ht="14.25" x14ac:dyDescent="0.2">
      <c r="F94" s="148"/>
      <c r="G94" s="276"/>
      <c r="H94" s="148"/>
      <c r="O94" s="96" t="s">
        <v>87</v>
      </c>
    </row>
    <row r="95" spans="1:15" ht="15" x14ac:dyDescent="0.2">
      <c r="A95" s="305" t="s">
        <v>354</v>
      </c>
      <c r="B95" s="124">
        <v>139</v>
      </c>
      <c r="C95" s="105"/>
      <c r="D95" s="106">
        <v>2</v>
      </c>
      <c r="F95" s="148"/>
      <c r="G95" s="276"/>
      <c r="H95" s="148"/>
      <c r="O95" s="96" t="s">
        <v>87</v>
      </c>
    </row>
    <row r="96" spans="1:15" ht="14.25" x14ac:dyDescent="0.2">
      <c r="A96" s="317" t="s">
        <v>355</v>
      </c>
      <c r="B96" s="223">
        <v>1</v>
      </c>
      <c r="C96" s="225"/>
      <c r="D96" s="282">
        <f>D9</f>
        <v>0</v>
      </c>
      <c r="F96" s="148"/>
      <c r="G96" s="276"/>
      <c r="H96" s="148"/>
      <c r="O96" s="96" t="s">
        <v>87</v>
      </c>
    </row>
    <row r="97" spans="1:15" ht="14.25" x14ac:dyDescent="0.2">
      <c r="A97" s="318" t="s">
        <v>356</v>
      </c>
      <c r="B97" s="223"/>
      <c r="C97" s="230"/>
      <c r="D97" s="289"/>
      <c r="F97" s="148"/>
      <c r="G97" s="276"/>
      <c r="H97" s="148"/>
      <c r="O97" s="96" t="s">
        <v>87</v>
      </c>
    </row>
    <row r="98" spans="1:15" ht="14.25" x14ac:dyDescent="0.2">
      <c r="A98" s="319" t="s">
        <v>357</v>
      </c>
      <c r="B98" s="223">
        <v>2</v>
      </c>
      <c r="C98" s="289"/>
      <c r="D98" s="137" t="str">
        <f>'BCR.Balance sheet'!D98</f>
        <v>-</v>
      </c>
      <c r="F98" s="148"/>
      <c r="G98" s="276"/>
      <c r="H98" s="148"/>
      <c r="O98" s="96" t="s">
        <v>87</v>
      </c>
    </row>
    <row r="99" spans="1:15" ht="14.25" x14ac:dyDescent="0.2">
      <c r="A99" s="320" t="s">
        <v>358</v>
      </c>
      <c r="B99" s="223">
        <v>3</v>
      </c>
      <c r="C99" s="289"/>
      <c r="D99" s="137" t="str">
        <f>'BCR.Balance sheet'!D99</f>
        <v>-</v>
      </c>
      <c r="F99" s="148"/>
      <c r="G99" s="276"/>
      <c r="H99" s="148"/>
      <c r="O99" s="96" t="s">
        <v>87</v>
      </c>
    </row>
    <row r="100" spans="1:15" ht="14.25" x14ac:dyDescent="0.2">
      <c r="A100" s="320" t="s">
        <v>359</v>
      </c>
      <c r="B100" s="223">
        <v>4</v>
      </c>
      <c r="C100" s="289"/>
      <c r="D100" s="137" t="str">
        <f>'BCR.Balance sheet'!D100</f>
        <v>-</v>
      </c>
      <c r="F100" s="148"/>
      <c r="G100" s="276"/>
      <c r="H100" s="148"/>
      <c r="O100" s="96" t="s">
        <v>87</v>
      </c>
    </row>
    <row r="101" spans="1:15" ht="14.25" x14ac:dyDescent="0.2">
      <c r="A101" s="320" t="s">
        <v>360</v>
      </c>
      <c r="B101" s="223">
        <v>5</v>
      </c>
      <c r="C101" s="289"/>
      <c r="D101" s="137" t="str">
        <f>'BCR.Balance sheet'!D101</f>
        <v>-</v>
      </c>
      <c r="F101" s="148"/>
      <c r="G101" s="276"/>
      <c r="H101" s="148"/>
      <c r="O101" s="96" t="s">
        <v>87</v>
      </c>
    </row>
    <row r="102" spans="1:15" ht="14.25" x14ac:dyDescent="0.2">
      <c r="A102" s="321" t="s">
        <v>361</v>
      </c>
      <c r="B102" s="322">
        <v>6</v>
      </c>
      <c r="C102" s="323"/>
      <c r="D102" s="313">
        <f>D96-SUM(D98:D101)</f>
        <v>0</v>
      </c>
      <c r="F102" s="148"/>
      <c r="G102" s="276"/>
      <c r="H102" s="148"/>
      <c r="O102" s="96" t="s">
        <v>87</v>
      </c>
    </row>
    <row r="103" spans="1:15" ht="14.25" x14ac:dyDescent="0.2">
      <c r="F103" s="148"/>
      <c r="G103" s="276"/>
      <c r="H103" s="148"/>
      <c r="O103" s="96" t="s">
        <v>87</v>
      </c>
    </row>
    <row r="104" spans="1:15" ht="15" x14ac:dyDescent="0.25">
      <c r="A104" s="324" t="s">
        <v>1361</v>
      </c>
      <c r="B104" s="218"/>
      <c r="C104" s="218"/>
      <c r="D104" s="218"/>
      <c r="E104" s="218"/>
      <c r="F104" s="218"/>
      <c r="G104" s="218"/>
      <c r="H104" s="218"/>
      <c r="I104" s="218"/>
      <c r="J104" s="218"/>
      <c r="K104" s="218"/>
      <c r="L104" s="325"/>
      <c r="O104" s="96" t="s">
        <v>87</v>
      </c>
    </row>
    <row r="105" spans="1:15" ht="14.25" x14ac:dyDescent="0.2">
      <c r="A105" s="326"/>
      <c r="B105" s="327"/>
      <c r="C105" s="328" t="s">
        <v>363</v>
      </c>
      <c r="D105" s="329"/>
      <c r="E105" s="330"/>
      <c r="F105" s="328" t="s">
        <v>364</v>
      </c>
      <c r="G105" s="331"/>
      <c r="H105" s="328" t="s">
        <v>365</v>
      </c>
      <c r="I105" s="331"/>
      <c r="J105" s="332" t="s">
        <v>366</v>
      </c>
      <c r="K105" s="333"/>
      <c r="L105" s="334"/>
      <c r="O105" s="96" t="s">
        <v>87</v>
      </c>
    </row>
    <row r="106" spans="1:15" ht="51" x14ac:dyDescent="0.2">
      <c r="A106" s="335" t="s">
        <v>367</v>
      </c>
      <c r="B106" s="336"/>
      <c r="C106" s="337" t="s">
        <v>293</v>
      </c>
      <c r="D106" s="338" t="s">
        <v>297</v>
      </c>
      <c r="E106" s="339" t="s">
        <v>294</v>
      </c>
      <c r="F106" s="340" t="s">
        <v>368</v>
      </c>
      <c r="G106" s="341" t="s">
        <v>369</v>
      </c>
      <c r="H106" s="340" t="s">
        <v>368</v>
      </c>
      <c r="I106" s="341" t="s">
        <v>369</v>
      </c>
      <c r="J106" s="340" t="s">
        <v>368</v>
      </c>
      <c r="K106" s="341" t="s">
        <v>369</v>
      </c>
      <c r="L106" s="342" t="s">
        <v>370</v>
      </c>
      <c r="M106" s="486" t="s">
        <v>1362</v>
      </c>
      <c r="O106" s="96" t="s">
        <v>87</v>
      </c>
    </row>
    <row r="107" spans="1:15" ht="14.25" x14ac:dyDescent="0.2">
      <c r="A107" s="150"/>
      <c r="B107" s="104">
        <v>140</v>
      </c>
      <c r="C107" s="105">
        <v>1</v>
      </c>
      <c r="D107" s="105">
        <v>2</v>
      </c>
      <c r="E107" s="105">
        <v>3</v>
      </c>
      <c r="F107" s="105">
        <v>4</v>
      </c>
      <c r="G107" s="105">
        <v>5</v>
      </c>
      <c r="H107" s="105">
        <v>6</v>
      </c>
      <c r="I107" s="105">
        <v>7</v>
      </c>
      <c r="J107" s="105">
        <v>8</v>
      </c>
      <c r="K107" s="105">
        <v>9</v>
      </c>
      <c r="L107" s="106">
        <v>10</v>
      </c>
      <c r="M107" s="781"/>
      <c r="O107" s="96" t="s">
        <v>87</v>
      </c>
    </row>
    <row r="108" spans="1:15" ht="14.25" x14ac:dyDescent="0.2">
      <c r="A108" s="280" t="s">
        <v>260</v>
      </c>
      <c r="B108" s="108">
        <v>1</v>
      </c>
      <c r="C108" s="127">
        <f>SUM(C114,C130)</f>
        <v>0</v>
      </c>
      <c r="D108" s="127">
        <f>SUM(C108)-SUM(E108)</f>
        <v>0</v>
      </c>
      <c r="E108" s="127">
        <f>SUM(F108:G108)</f>
        <v>0</v>
      </c>
      <c r="F108" s="282">
        <f t="shared" ref="F108:K108" si="13">SUM(F114,F130)</f>
        <v>0</v>
      </c>
      <c r="G108" s="282">
        <f t="shared" si="13"/>
        <v>0</v>
      </c>
      <c r="H108" s="282">
        <f t="shared" si="13"/>
        <v>0</v>
      </c>
      <c r="I108" s="282">
        <f t="shared" si="13"/>
        <v>0</v>
      </c>
      <c r="J108" s="282">
        <f t="shared" si="13"/>
        <v>0</v>
      </c>
      <c r="K108" s="282">
        <f t="shared" si="13"/>
        <v>0</v>
      </c>
      <c r="L108" s="282">
        <f>SUM(L112,L109)</f>
        <v>0</v>
      </c>
      <c r="M108" s="130"/>
      <c r="O108" s="96" t="s">
        <v>87</v>
      </c>
    </row>
    <row r="109" spans="1:15" ht="14.25" x14ac:dyDescent="0.2">
      <c r="A109" s="283" t="s">
        <v>659</v>
      </c>
      <c r="B109" s="108">
        <v>2</v>
      </c>
      <c r="C109" s="130"/>
      <c r="D109" s="130"/>
      <c r="E109" s="130"/>
      <c r="F109" s="130"/>
      <c r="G109" s="130"/>
      <c r="H109" s="130"/>
      <c r="I109" s="130"/>
      <c r="J109" s="130"/>
      <c r="K109" s="130"/>
      <c r="L109" s="130"/>
      <c r="M109" s="130"/>
      <c r="O109" s="96" t="s">
        <v>87</v>
      </c>
    </row>
    <row r="110" spans="1:15" ht="14.25" x14ac:dyDescent="0.2">
      <c r="A110" s="880" t="s">
        <v>660</v>
      </c>
      <c r="B110" s="108">
        <v>3</v>
      </c>
      <c r="C110" s="130"/>
      <c r="D110" s="130"/>
      <c r="E110" s="130"/>
      <c r="F110" s="130"/>
      <c r="G110" s="130"/>
      <c r="H110" s="130"/>
      <c r="I110" s="130"/>
      <c r="J110" s="130"/>
      <c r="K110" s="130"/>
      <c r="L110" s="284">
        <f>SUM('ICS.Transfer-MOCE'!C6)</f>
        <v>0</v>
      </c>
      <c r="M110" s="130"/>
      <c r="O110" s="96" t="s">
        <v>87</v>
      </c>
    </row>
    <row r="111" spans="1:15" ht="14.25" x14ac:dyDescent="0.2">
      <c r="A111" s="880" t="s">
        <v>661</v>
      </c>
      <c r="B111" s="108">
        <v>4</v>
      </c>
      <c r="C111" s="130"/>
      <c r="D111" s="130"/>
      <c r="E111" s="130"/>
      <c r="F111" s="130"/>
      <c r="G111" s="130"/>
      <c r="H111" s="130"/>
      <c r="I111" s="130"/>
      <c r="J111" s="130"/>
      <c r="K111" s="130"/>
      <c r="L111" s="284">
        <f>SUM('ICS.Prudence-MOCE'!C7)</f>
        <v>0</v>
      </c>
      <c r="M111" s="130"/>
      <c r="O111" s="96" t="s">
        <v>87</v>
      </c>
    </row>
    <row r="112" spans="1:15" ht="14.25" x14ac:dyDescent="0.2">
      <c r="A112" s="280" t="s">
        <v>1363</v>
      </c>
      <c r="B112" s="169">
        <v>5</v>
      </c>
      <c r="C112" s="127">
        <f t="shared" ref="C112:K112" si="14">C108</f>
        <v>0</v>
      </c>
      <c r="D112" s="127">
        <f t="shared" si="14"/>
        <v>0</v>
      </c>
      <c r="E112" s="127">
        <f t="shared" si="14"/>
        <v>0</v>
      </c>
      <c r="F112" s="127">
        <f t="shared" si="14"/>
        <v>0</v>
      </c>
      <c r="G112" s="127">
        <f t="shared" si="14"/>
        <v>0</v>
      </c>
      <c r="H112" s="127">
        <f t="shared" si="14"/>
        <v>0</v>
      </c>
      <c r="I112" s="127">
        <f t="shared" si="14"/>
        <v>0</v>
      </c>
      <c r="J112" s="127">
        <f t="shared" si="14"/>
        <v>0</v>
      </c>
      <c r="K112" s="127">
        <f t="shared" si="14"/>
        <v>0</v>
      </c>
      <c r="L112" s="282">
        <f t="shared" ref="L112:L138" si="15">SUM(J112:K112)</f>
        <v>0</v>
      </c>
      <c r="M112" s="130"/>
      <c r="O112" s="96" t="s">
        <v>87</v>
      </c>
    </row>
    <row r="113" spans="1:15" ht="14.25" x14ac:dyDescent="0.2">
      <c r="A113" s="1133" t="s">
        <v>1364</v>
      </c>
      <c r="B113" s="169">
        <v>6</v>
      </c>
      <c r="C113" s="137"/>
      <c r="D113" s="133">
        <f t="shared" ref="D113:D138" si="16">SUM(C113)-SUM(E113)</f>
        <v>0</v>
      </c>
      <c r="E113" s="137"/>
      <c r="F113" s="130"/>
      <c r="G113" s="137"/>
      <c r="H113" s="130"/>
      <c r="I113" s="137"/>
      <c r="J113" s="130"/>
      <c r="K113" s="285">
        <f>SUM(G113)-SUM(I113)</f>
        <v>0</v>
      </c>
      <c r="L113" s="285">
        <f t="shared" si="15"/>
        <v>0</v>
      </c>
      <c r="M113" s="130"/>
      <c r="O113" s="96" t="s">
        <v>87</v>
      </c>
    </row>
    <row r="114" spans="1:15" ht="14.25" x14ac:dyDescent="0.2">
      <c r="A114" s="283" t="s">
        <v>261</v>
      </c>
      <c r="B114" s="169">
        <v>7</v>
      </c>
      <c r="C114" s="133">
        <f>SUM(C115,C123)</f>
        <v>0</v>
      </c>
      <c r="D114" s="133">
        <f t="shared" si="16"/>
        <v>0</v>
      </c>
      <c r="E114" s="133">
        <f t="shared" ref="E114:E138" si="17">SUM(F114:G114)</f>
        <v>0</v>
      </c>
      <c r="F114" s="310"/>
      <c r="G114" s="285">
        <f t="shared" ref="G114:K114" si="18">SUM(G115,G123)</f>
        <v>0</v>
      </c>
      <c r="H114" s="310"/>
      <c r="I114" s="285">
        <f t="shared" si="18"/>
        <v>0</v>
      </c>
      <c r="J114" s="310"/>
      <c r="K114" s="285">
        <f t="shared" si="18"/>
        <v>0</v>
      </c>
      <c r="L114" s="285">
        <f t="shared" si="15"/>
        <v>0</v>
      </c>
      <c r="M114" s="130"/>
      <c r="O114" s="96" t="s">
        <v>87</v>
      </c>
    </row>
    <row r="115" spans="1:15" ht="14.25" x14ac:dyDescent="0.2">
      <c r="A115" s="286" t="s">
        <v>262</v>
      </c>
      <c r="B115" s="169">
        <v>8</v>
      </c>
      <c r="C115" s="133">
        <f>SUM(C116:C122)</f>
        <v>0</v>
      </c>
      <c r="D115" s="133">
        <f t="shared" si="16"/>
        <v>0</v>
      </c>
      <c r="E115" s="133">
        <f t="shared" si="17"/>
        <v>0</v>
      </c>
      <c r="F115" s="310"/>
      <c r="G115" s="285">
        <f t="shared" ref="G115:K115" si="19">SUM(G116:G122)</f>
        <v>0</v>
      </c>
      <c r="H115" s="310"/>
      <c r="I115" s="285">
        <f t="shared" si="19"/>
        <v>0</v>
      </c>
      <c r="J115" s="310"/>
      <c r="K115" s="285">
        <f t="shared" si="19"/>
        <v>0</v>
      </c>
      <c r="L115" s="285">
        <f t="shared" si="15"/>
        <v>0</v>
      </c>
      <c r="M115" s="1134">
        <f>SUM(L115)-(SUM('ICS.Liabilities reconciliation'!N9)-SUM('ICS.Liabilities reconciliation'!N35))</f>
        <v>0</v>
      </c>
      <c r="O115" s="96" t="s">
        <v>87</v>
      </c>
    </row>
    <row r="116" spans="1:15" ht="14.25" x14ac:dyDescent="0.2">
      <c r="A116" s="287" t="s">
        <v>263</v>
      </c>
      <c r="B116" s="169">
        <v>9</v>
      </c>
      <c r="C116" s="271" t="str">
        <f>'BCR.Balance sheet'!C111</f>
        <v>-</v>
      </c>
      <c r="D116" s="133">
        <f t="shared" si="16"/>
        <v>0</v>
      </c>
      <c r="E116" s="133">
        <f t="shared" si="17"/>
        <v>0</v>
      </c>
      <c r="F116" s="310"/>
      <c r="G116" s="271" t="str">
        <f>'BCR.Balance sheet'!G111</f>
        <v>-</v>
      </c>
      <c r="H116" s="310"/>
      <c r="I116" s="271" t="str">
        <f>'BCR.Balance sheet'!I111</f>
        <v>-</v>
      </c>
      <c r="J116" s="310"/>
      <c r="K116" s="285">
        <f t="shared" ref="K116:K122" si="20">SUM(G116)-SUM(I116)</f>
        <v>0</v>
      </c>
      <c r="L116" s="285">
        <f t="shared" si="15"/>
        <v>0</v>
      </c>
      <c r="M116" s="1134">
        <f>SUM(L116)-(SUM('ICS.Liabilities reconciliation'!N10)-SUM('ICS.Liabilities reconciliation'!N36))</f>
        <v>0</v>
      </c>
      <c r="O116" s="96" t="s">
        <v>87</v>
      </c>
    </row>
    <row r="117" spans="1:15" ht="14.25" x14ac:dyDescent="0.2">
      <c r="A117" s="287" t="s">
        <v>264</v>
      </c>
      <c r="B117" s="169">
        <v>10</v>
      </c>
      <c r="C117" s="271" t="str">
        <f>'BCR.Balance sheet'!C112</f>
        <v>-</v>
      </c>
      <c r="D117" s="133">
        <f t="shared" si="16"/>
        <v>0</v>
      </c>
      <c r="E117" s="133">
        <f t="shared" si="17"/>
        <v>0</v>
      </c>
      <c r="F117" s="310"/>
      <c r="G117" s="271" t="str">
        <f>'BCR.Balance sheet'!G112</f>
        <v>-</v>
      </c>
      <c r="H117" s="310"/>
      <c r="I117" s="271" t="str">
        <f>'BCR.Balance sheet'!I112</f>
        <v>-</v>
      </c>
      <c r="J117" s="310"/>
      <c r="K117" s="285">
        <f t="shared" si="20"/>
        <v>0</v>
      </c>
      <c r="L117" s="285">
        <f t="shared" si="15"/>
        <v>0</v>
      </c>
      <c r="M117" s="1134">
        <f>SUM(L117)-(SUM('ICS.Liabilities reconciliation'!N11)-SUM('ICS.Liabilities reconciliation'!N37))</f>
        <v>0</v>
      </c>
      <c r="O117" s="96" t="s">
        <v>87</v>
      </c>
    </row>
    <row r="118" spans="1:15" ht="14.25" x14ac:dyDescent="0.2">
      <c r="A118" s="287" t="s">
        <v>265</v>
      </c>
      <c r="B118" s="169">
        <v>11</v>
      </c>
      <c r="C118" s="271" t="str">
        <f>'BCR.Balance sheet'!C113</f>
        <v>-</v>
      </c>
      <c r="D118" s="133">
        <f t="shared" si="16"/>
        <v>0</v>
      </c>
      <c r="E118" s="133">
        <f t="shared" si="17"/>
        <v>0</v>
      </c>
      <c r="F118" s="310"/>
      <c r="G118" s="271" t="str">
        <f>'BCR.Balance sheet'!G113</f>
        <v>-</v>
      </c>
      <c r="H118" s="310"/>
      <c r="I118" s="271" t="str">
        <f>'BCR.Balance sheet'!I113</f>
        <v>-</v>
      </c>
      <c r="J118" s="310"/>
      <c r="K118" s="285">
        <f t="shared" si="20"/>
        <v>0</v>
      </c>
      <c r="L118" s="285">
        <f t="shared" si="15"/>
        <v>0</v>
      </c>
      <c r="M118" s="1134">
        <f>SUM(L118)-(SUM('ICS.Liabilities reconciliation'!N12)-SUM('ICS.Liabilities reconciliation'!N38))</f>
        <v>0</v>
      </c>
      <c r="O118" s="96" t="s">
        <v>87</v>
      </c>
    </row>
    <row r="119" spans="1:15" ht="14.25" x14ac:dyDescent="0.2">
      <c r="A119" s="287" t="s">
        <v>266</v>
      </c>
      <c r="B119" s="169">
        <v>12</v>
      </c>
      <c r="C119" s="271" t="str">
        <f>'BCR.Balance sheet'!C114</f>
        <v>-</v>
      </c>
      <c r="D119" s="133">
        <f t="shared" si="16"/>
        <v>0</v>
      </c>
      <c r="E119" s="133">
        <f t="shared" si="17"/>
        <v>0</v>
      </c>
      <c r="F119" s="310"/>
      <c r="G119" s="271" t="str">
        <f>'BCR.Balance sheet'!G114</f>
        <v>-</v>
      </c>
      <c r="H119" s="310"/>
      <c r="I119" s="271" t="str">
        <f>'BCR.Balance sheet'!I114</f>
        <v>-</v>
      </c>
      <c r="J119" s="310"/>
      <c r="K119" s="285">
        <f t="shared" si="20"/>
        <v>0</v>
      </c>
      <c r="L119" s="285">
        <f t="shared" si="15"/>
        <v>0</v>
      </c>
      <c r="M119" s="1134">
        <f>SUM(L119)-(SUM('ICS.Liabilities reconciliation'!N13)-SUM('ICS.Liabilities reconciliation'!N39))</f>
        <v>0</v>
      </c>
      <c r="O119" s="96" t="s">
        <v>87</v>
      </c>
    </row>
    <row r="120" spans="1:15" ht="14.25" x14ac:dyDescent="0.2">
      <c r="A120" s="287" t="s">
        <v>188</v>
      </c>
      <c r="B120" s="169">
        <v>13</v>
      </c>
      <c r="C120" s="271" t="str">
        <f>'BCR.Balance sheet'!C115</f>
        <v>-</v>
      </c>
      <c r="D120" s="133">
        <f t="shared" si="16"/>
        <v>0</v>
      </c>
      <c r="E120" s="133">
        <f t="shared" si="17"/>
        <v>0</v>
      </c>
      <c r="F120" s="310"/>
      <c r="G120" s="271" t="str">
        <f>'BCR.Balance sheet'!G115</f>
        <v>-</v>
      </c>
      <c r="H120" s="310"/>
      <c r="I120" s="271" t="str">
        <f>'BCR.Balance sheet'!I115</f>
        <v>-</v>
      </c>
      <c r="J120" s="310"/>
      <c r="K120" s="285">
        <f t="shared" si="20"/>
        <v>0</v>
      </c>
      <c r="L120" s="285">
        <f t="shared" si="15"/>
        <v>0</v>
      </c>
      <c r="M120" s="1134">
        <f>SUM(L120)-(SUM('ICS.Liabilities reconciliation'!N14)-SUM('ICS.Liabilities reconciliation'!N40))</f>
        <v>0</v>
      </c>
      <c r="O120" s="96" t="s">
        <v>87</v>
      </c>
    </row>
    <row r="121" spans="1:15" ht="14.25" x14ac:dyDescent="0.2">
      <c r="A121" s="287" t="s">
        <v>186</v>
      </c>
      <c r="B121" s="169">
        <v>14</v>
      </c>
      <c r="C121" s="271" t="str">
        <f>'BCR.Balance sheet'!C116</f>
        <v>-</v>
      </c>
      <c r="D121" s="133">
        <f t="shared" si="16"/>
        <v>0</v>
      </c>
      <c r="E121" s="133">
        <f t="shared" si="17"/>
        <v>0</v>
      </c>
      <c r="F121" s="310"/>
      <c r="G121" s="271" t="str">
        <f>'BCR.Balance sheet'!G116</f>
        <v>-</v>
      </c>
      <c r="H121" s="310"/>
      <c r="I121" s="271" t="str">
        <f>'BCR.Balance sheet'!I116</f>
        <v>-</v>
      </c>
      <c r="J121" s="310"/>
      <c r="K121" s="285">
        <f t="shared" si="20"/>
        <v>0</v>
      </c>
      <c r="L121" s="285">
        <f t="shared" si="15"/>
        <v>0</v>
      </c>
      <c r="M121" s="1134">
        <f>SUM(L121)-(SUM('ICS.Liabilities reconciliation'!N15)-SUM('ICS.Liabilities reconciliation'!N41))</f>
        <v>0</v>
      </c>
      <c r="O121" s="96" t="s">
        <v>87</v>
      </c>
    </row>
    <row r="122" spans="1:15" ht="14.25" x14ac:dyDescent="0.2">
      <c r="A122" s="287" t="s">
        <v>267</v>
      </c>
      <c r="B122" s="169">
        <v>15</v>
      </c>
      <c r="C122" s="271" t="str">
        <f>'BCR.Balance sheet'!C117</f>
        <v>-</v>
      </c>
      <c r="D122" s="133">
        <f t="shared" si="16"/>
        <v>0</v>
      </c>
      <c r="E122" s="133">
        <f t="shared" si="17"/>
        <v>0</v>
      </c>
      <c r="F122" s="310"/>
      <c r="G122" s="271" t="str">
        <f>'BCR.Balance sheet'!G117</f>
        <v>-</v>
      </c>
      <c r="H122" s="310"/>
      <c r="I122" s="271" t="str">
        <f>'BCR.Balance sheet'!I117</f>
        <v>-</v>
      </c>
      <c r="J122" s="310"/>
      <c r="K122" s="285">
        <f t="shared" si="20"/>
        <v>0</v>
      </c>
      <c r="L122" s="285">
        <f t="shared" si="15"/>
        <v>0</v>
      </c>
      <c r="M122" s="1134">
        <f>SUM(L122)-(SUM('ICS.Liabilities reconciliation'!N16)-SUM('ICS.Liabilities reconciliation'!N42))</f>
        <v>0</v>
      </c>
      <c r="O122" s="96" t="s">
        <v>87</v>
      </c>
    </row>
    <row r="123" spans="1:15" ht="14.25" x14ac:dyDescent="0.2">
      <c r="A123" s="286" t="s">
        <v>268</v>
      </c>
      <c r="B123" s="169">
        <v>16</v>
      </c>
      <c r="C123" s="133">
        <f>SUM(C124,C127:C129)</f>
        <v>0</v>
      </c>
      <c r="D123" s="133">
        <f t="shared" si="16"/>
        <v>0</v>
      </c>
      <c r="E123" s="133">
        <f t="shared" si="17"/>
        <v>0</v>
      </c>
      <c r="F123" s="310"/>
      <c r="G123" s="285">
        <f t="shared" ref="G123:K123" si="21">SUM(G124,G127:G129)</f>
        <v>0</v>
      </c>
      <c r="H123" s="310"/>
      <c r="I123" s="285">
        <f t="shared" si="21"/>
        <v>0</v>
      </c>
      <c r="J123" s="310"/>
      <c r="K123" s="285">
        <f t="shared" si="21"/>
        <v>0</v>
      </c>
      <c r="L123" s="285">
        <f t="shared" si="15"/>
        <v>0</v>
      </c>
      <c r="M123" s="1134">
        <f>SUM(L123)-(SUM('ICS.Liabilities reconciliation'!N17)-SUM('ICS.Liabilities reconciliation'!N43))</f>
        <v>0</v>
      </c>
      <c r="O123" s="96" t="s">
        <v>87</v>
      </c>
    </row>
    <row r="124" spans="1:15" ht="14.25" x14ac:dyDescent="0.2">
      <c r="A124" s="287" t="s">
        <v>269</v>
      </c>
      <c r="B124" s="169">
        <v>17</v>
      </c>
      <c r="C124" s="271" t="str">
        <f>'BCR.Balance sheet'!C119</f>
        <v>-</v>
      </c>
      <c r="D124" s="133">
        <f t="shared" si="16"/>
        <v>0</v>
      </c>
      <c r="E124" s="133">
        <f t="shared" si="17"/>
        <v>0</v>
      </c>
      <c r="F124" s="310"/>
      <c r="G124" s="271" t="str">
        <f>'BCR.Balance sheet'!G119</f>
        <v>-</v>
      </c>
      <c r="H124" s="310"/>
      <c r="I124" s="271" t="str">
        <f>'BCR.Balance sheet'!I119</f>
        <v>-</v>
      </c>
      <c r="J124" s="310"/>
      <c r="K124" s="285">
        <f t="shared" ref="K124:K129" si="22">SUM(G124)-SUM(I124)</f>
        <v>0</v>
      </c>
      <c r="L124" s="285">
        <f t="shared" si="15"/>
        <v>0</v>
      </c>
      <c r="M124" s="1134">
        <f>SUM(L124)-(SUM('ICS.Liabilities reconciliation'!N18)-SUM('ICS.Liabilities reconciliation'!N44))</f>
        <v>0</v>
      </c>
      <c r="O124" s="96" t="s">
        <v>87</v>
      </c>
    </row>
    <row r="125" spans="1:15" ht="14.25" x14ac:dyDescent="0.2">
      <c r="A125" s="288" t="s">
        <v>270</v>
      </c>
      <c r="B125" s="169">
        <v>18</v>
      </c>
      <c r="C125" s="271" t="str">
        <f>'BCR.Balance sheet'!C120</f>
        <v>-</v>
      </c>
      <c r="D125" s="133">
        <f t="shared" si="16"/>
        <v>0</v>
      </c>
      <c r="E125" s="133">
        <f t="shared" si="17"/>
        <v>0</v>
      </c>
      <c r="F125" s="310"/>
      <c r="G125" s="271" t="str">
        <f>'BCR.Balance sheet'!G120</f>
        <v>-</v>
      </c>
      <c r="H125" s="310"/>
      <c r="I125" s="271" t="str">
        <f>'BCR.Balance sheet'!I120</f>
        <v>-</v>
      </c>
      <c r="J125" s="310"/>
      <c r="K125" s="285">
        <f t="shared" si="22"/>
        <v>0</v>
      </c>
      <c r="L125" s="285">
        <f t="shared" si="15"/>
        <v>0</v>
      </c>
      <c r="M125" s="1134">
        <f>SUM(L125)-(SUM('ICS.Liabilities reconciliation'!N19)-SUM('ICS.Liabilities reconciliation'!N45))</f>
        <v>0</v>
      </c>
      <c r="O125" s="96" t="s">
        <v>87</v>
      </c>
    </row>
    <row r="126" spans="1:15" ht="14.25" x14ac:dyDescent="0.2">
      <c r="A126" s="288" t="s">
        <v>271</v>
      </c>
      <c r="B126" s="169">
        <v>19</v>
      </c>
      <c r="C126" s="271" t="str">
        <f>'BCR.Balance sheet'!C121</f>
        <v>-</v>
      </c>
      <c r="D126" s="133">
        <f t="shared" si="16"/>
        <v>0</v>
      </c>
      <c r="E126" s="133">
        <f t="shared" si="17"/>
        <v>0</v>
      </c>
      <c r="F126" s="310"/>
      <c r="G126" s="271" t="str">
        <f>'BCR.Balance sheet'!G121</f>
        <v>-</v>
      </c>
      <c r="H126" s="310"/>
      <c r="I126" s="271" t="str">
        <f>'BCR.Balance sheet'!I121</f>
        <v>-</v>
      </c>
      <c r="J126" s="310"/>
      <c r="K126" s="285">
        <f t="shared" si="22"/>
        <v>0</v>
      </c>
      <c r="L126" s="285">
        <f t="shared" si="15"/>
        <v>0</v>
      </c>
      <c r="M126" s="1134">
        <f>SUM(L126)-(SUM('ICS.Liabilities reconciliation'!N20)-SUM('ICS.Liabilities reconciliation'!N46))</f>
        <v>0</v>
      </c>
      <c r="O126" s="96" t="s">
        <v>87</v>
      </c>
    </row>
    <row r="127" spans="1:15" ht="14.25" x14ac:dyDescent="0.2">
      <c r="A127" s="287" t="s">
        <v>272</v>
      </c>
      <c r="B127" s="169">
        <v>20</v>
      </c>
      <c r="C127" s="271" t="str">
        <f>'BCR.Balance sheet'!C122</f>
        <v>-</v>
      </c>
      <c r="D127" s="133">
        <f t="shared" si="16"/>
        <v>0</v>
      </c>
      <c r="E127" s="133">
        <f t="shared" si="17"/>
        <v>0</v>
      </c>
      <c r="F127" s="310"/>
      <c r="G127" s="271" t="str">
        <f>'BCR.Balance sheet'!G122</f>
        <v>-</v>
      </c>
      <c r="H127" s="310"/>
      <c r="I127" s="271" t="str">
        <f>'BCR.Balance sheet'!I122</f>
        <v>-</v>
      </c>
      <c r="J127" s="310"/>
      <c r="K127" s="285">
        <f t="shared" si="22"/>
        <v>0</v>
      </c>
      <c r="L127" s="285">
        <f t="shared" si="15"/>
        <v>0</v>
      </c>
      <c r="M127" s="1134">
        <f>SUM(L127)-(SUM('ICS.Liabilities reconciliation'!N21)-SUM('ICS.Liabilities reconciliation'!N47))</f>
        <v>0</v>
      </c>
      <c r="O127" s="96" t="s">
        <v>87</v>
      </c>
    </row>
    <row r="128" spans="1:15" ht="14.25" x14ac:dyDescent="0.2">
      <c r="A128" s="287" t="s">
        <v>273</v>
      </c>
      <c r="B128" s="169">
        <v>21</v>
      </c>
      <c r="C128" s="271" t="str">
        <f>'BCR.Balance sheet'!C123</f>
        <v>-</v>
      </c>
      <c r="D128" s="133">
        <f t="shared" si="16"/>
        <v>0</v>
      </c>
      <c r="E128" s="133">
        <f t="shared" si="17"/>
        <v>0</v>
      </c>
      <c r="F128" s="310"/>
      <c r="G128" s="271" t="str">
        <f>'BCR.Balance sheet'!G123</f>
        <v>-</v>
      </c>
      <c r="H128" s="310"/>
      <c r="I128" s="271" t="str">
        <f>'BCR.Balance sheet'!I123</f>
        <v>-</v>
      </c>
      <c r="J128" s="310"/>
      <c r="K128" s="285">
        <f t="shared" si="22"/>
        <v>0</v>
      </c>
      <c r="L128" s="285">
        <f t="shared" si="15"/>
        <v>0</v>
      </c>
      <c r="M128" s="1134">
        <f>SUM(L128)-(SUM('ICS.Liabilities reconciliation'!N22)-SUM('ICS.Liabilities reconciliation'!N48))</f>
        <v>0</v>
      </c>
      <c r="O128" s="96" t="s">
        <v>87</v>
      </c>
    </row>
    <row r="129" spans="1:15" ht="14.25" x14ac:dyDescent="0.2">
      <c r="A129" s="287" t="s">
        <v>274</v>
      </c>
      <c r="B129" s="169">
        <v>22</v>
      </c>
      <c r="C129" s="271" t="str">
        <f>'BCR.Balance sheet'!C124</f>
        <v>-</v>
      </c>
      <c r="D129" s="133">
        <f t="shared" si="16"/>
        <v>0</v>
      </c>
      <c r="E129" s="133">
        <f t="shared" si="17"/>
        <v>0</v>
      </c>
      <c r="F129" s="310"/>
      <c r="G129" s="271" t="str">
        <f>'BCR.Balance sheet'!G124</f>
        <v>-</v>
      </c>
      <c r="H129" s="310"/>
      <c r="I129" s="271" t="str">
        <f>'BCR.Balance sheet'!I124</f>
        <v>-</v>
      </c>
      <c r="J129" s="310"/>
      <c r="K129" s="285">
        <f t="shared" si="22"/>
        <v>0</v>
      </c>
      <c r="L129" s="285">
        <f t="shared" si="15"/>
        <v>0</v>
      </c>
      <c r="M129" s="1134">
        <f>SUM(L129)-(SUM('ICS.Liabilities reconciliation'!N23)-SUM('ICS.Liabilities reconciliation'!N49))</f>
        <v>0</v>
      </c>
      <c r="O129" s="96" t="s">
        <v>87</v>
      </c>
    </row>
    <row r="130" spans="1:15" ht="14.25" x14ac:dyDescent="0.2">
      <c r="A130" s="283" t="s">
        <v>275</v>
      </c>
      <c r="B130" s="169">
        <v>23</v>
      </c>
      <c r="C130" s="133">
        <f>SUM(C131,C135)</f>
        <v>0</v>
      </c>
      <c r="D130" s="133">
        <f t="shared" si="16"/>
        <v>0</v>
      </c>
      <c r="E130" s="133">
        <f t="shared" si="17"/>
        <v>0</v>
      </c>
      <c r="F130" s="285">
        <f t="shared" ref="F130:K130" si="23">SUM(F131,F135)</f>
        <v>0</v>
      </c>
      <c r="G130" s="285">
        <f t="shared" si="23"/>
        <v>0</v>
      </c>
      <c r="H130" s="285">
        <f t="shared" si="23"/>
        <v>0</v>
      </c>
      <c r="I130" s="285">
        <f t="shared" si="23"/>
        <v>0</v>
      </c>
      <c r="J130" s="285">
        <f t="shared" si="23"/>
        <v>0</v>
      </c>
      <c r="K130" s="285">
        <f t="shared" si="23"/>
        <v>0</v>
      </c>
      <c r="L130" s="285">
        <f t="shared" si="15"/>
        <v>0</v>
      </c>
      <c r="M130" s="130"/>
      <c r="O130" s="96" t="s">
        <v>87</v>
      </c>
    </row>
    <row r="131" spans="1:15" ht="14.25" x14ac:dyDescent="0.2">
      <c r="A131" s="286" t="s">
        <v>276</v>
      </c>
      <c r="B131" s="169">
        <v>24</v>
      </c>
      <c r="C131" s="285">
        <f>SUM(C132:C134)</f>
        <v>0</v>
      </c>
      <c r="D131" s="133">
        <f t="shared" si="16"/>
        <v>0</v>
      </c>
      <c r="E131" s="133">
        <f t="shared" si="17"/>
        <v>0</v>
      </c>
      <c r="F131" s="285">
        <f t="shared" ref="F131:K131" si="24">SUM(F132:F134)</f>
        <v>0</v>
      </c>
      <c r="G131" s="285">
        <f t="shared" si="24"/>
        <v>0</v>
      </c>
      <c r="H131" s="285">
        <f t="shared" si="24"/>
        <v>0</v>
      </c>
      <c r="I131" s="285">
        <f t="shared" si="24"/>
        <v>0</v>
      </c>
      <c r="J131" s="285">
        <f t="shared" si="24"/>
        <v>0</v>
      </c>
      <c r="K131" s="285">
        <f t="shared" si="24"/>
        <v>0</v>
      </c>
      <c r="L131" s="285">
        <f t="shared" si="15"/>
        <v>0</v>
      </c>
      <c r="M131" s="1134">
        <f>SUM(L131) - (SUM('ICS.Liabilities reconciliation'!N24)-SUM('ICS.Liabilities reconciliation'!N50))</f>
        <v>0</v>
      </c>
      <c r="O131" s="96" t="s">
        <v>87</v>
      </c>
    </row>
    <row r="132" spans="1:15" ht="14.25" x14ac:dyDescent="0.2">
      <c r="A132" s="314" t="s">
        <v>709</v>
      </c>
      <c r="B132" s="169">
        <v>25</v>
      </c>
      <c r="C132" s="137" t="s">
        <v>90</v>
      </c>
      <c r="D132" s="133">
        <f t="shared" si="16"/>
        <v>0</v>
      </c>
      <c r="E132" s="133">
        <f t="shared" si="17"/>
        <v>0</v>
      </c>
      <c r="F132" s="137" t="s">
        <v>90</v>
      </c>
      <c r="G132" s="137" t="s">
        <v>90</v>
      </c>
      <c r="H132" s="137" t="s">
        <v>90</v>
      </c>
      <c r="I132" s="137" t="s">
        <v>90</v>
      </c>
      <c r="J132" s="285">
        <f t="shared" ref="J132:K134" si="25">SUM(F132)-SUM(H132)</f>
        <v>0</v>
      </c>
      <c r="K132" s="285">
        <f t="shared" si="25"/>
        <v>0</v>
      </c>
      <c r="L132" s="285">
        <f t="shared" si="15"/>
        <v>0</v>
      </c>
      <c r="M132" s="1134">
        <f>SUM(L132) - (SUM('ICS.Liabilities reconciliation'!N25)-SUM('ICS.Liabilities reconciliation'!N51))</f>
        <v>0</v>
      </c>
      <c r="O132" s="96" t="s">
        <v>87</v>
      </c>
    </row>
    <row r="133" spans="1:15" ht="14.25" x14ac:dyDescent="0.2">
      <c r="A133" s="314" t="s">
        <v>710</v>
      </c>
      <c r="B133" s="169">
        <v>26</v>
      </c>
      <c r="C133" s="137" t="s">
        <v>90</v>
      </c>
      <c r="D133" s="133">
        <f t="shared" si="16"/>
        <v>0</v>
      </c>
      <c r="E133" s="133">
        <f t="shared" si="17"/>
        <v>0</v>
      </c>
      <c r="F133" s="137" t="s">
        <v>90</v>
      </c>
      <c r="G133" s="137" t="s">
        <v>90</v>
      </c>
      <c r="H133" s="137" t="s">
        <v>90</v>
      </c>
      <c r="I133" s="137" t="s">
        <v>90</v>
      </c>
      <c r="J133" s="285">
        <f t="shared" si="25"/>
        <v>0</v>
      </c>
      <c r="K133" s="285">
        <f t="shared" si="25"/>
        <v>0</v>
      </c>
      <c r="L133" s="285">
        <f t="shared" si="15"/>
        <v>0</v>
      </c>
      <c r="M133" s="1134">
        <f>SUM(L133) - (SUM('ICS.Liabilities reconciliation'!N26)-SUM('ICS.Liabilities reconciliation'!N52))</f>
        <v>0</v>
      </c>
      <c r="O133" s="96" t="s">
        <v>87</v>
      </c>
    </row>
    <row r="134" spans="1:15" ht="14.25" x14ac:dyDescent="0.2">
      <c r="A134" s="314" t="s">
        <v>267</v>
      </c>
      <c r="B134" s="169">
        <v>27</v>
      </c>
      <c r="C134" s="137" t="s">
        <v>90</v>
      </c>
      <c r="D134" s="133">
        <f t="shared" si="16"/>
        <v>0</v>
      </c>
      <c r="E134" s="133">
        <f t="shared" si="17"/>
        <v>0</v>
      </c>
      <c r="F134" s="137" t="s">
        <v>90</v>
      </c>
      <c r="G134" s="137" t="s">
        <v>90</v>
      </c>
      <c r="H134" s="137" t="s">
        <v>90</v>
      </c>
      <c r="I134" s="137" t="s">
        <v>90</v>
      </c>
      <c r="J134" s="285">
        <f t="shared" si="25"/>
        <v>0</v>
      </c>
      <c r="K134" s="285">
        <f t="shared" si="25"/>
        <v>0</v>
      </c>
      <c r="L134" s="285">
        <f t="shared" si="15"/>
        <v>0</v>
      </c>
      <c r="M134" s="1134">
        <f>SUM(L134) - (SUM('ICS.Liabilities reconciliation'!N27)-SUM('ICS.Liabilities reconciliation'!N53))</f>
        <v>0</v>
      </c>
      <c r="O134" s="96" t="s">
        <v>87</v>
      </c>
    </row>
    <row r="135" spans="1:15" ht="14.25" x14ac:dyDescent="0.2">
      <c r="A135" s="286" t="s">
        <v>288</v>
      </c>
      <c r="B135" s="169">
        <v>28</v>
      </c>
      <c r="C135" s="285">
        <f>SUM(C136:C138)</f>
        <v>0</v>
      </c>
      <c r="D135" s="133">
        <f t="shared" si="16"/>
        <v>0</v>
      </c>
      <c r="E135" s="133">
        <f t="shared" si="17"/>
        <v>0</v>
      </c>
      <c r="F135" s="285">
        <f t="shared" ref="F135:K135" si="26">SUM(F136:F138)</f>
        <v>0</v>
      </c>
      <c r="G135" s="285">
        <f t="shared" si="26"/>
        <v>0</v>
      </c>
      <c r="H135" s="285">
        <f t="shared" si="26"/>
        <v>0</v>
      </c>
      <c r="I135" s="285">
        <f t="shared" si="26"/>
        <v>0</v>
      </c>
      <c r="J135" s="285">
        <f t="shared" si="26"/>
        <v>0</v>
      </c>
      <c r="K135" s="285">
        <f t="shared" si="26"/>
        <v>0</v>
      </c>
      <c r="L135" s="285">
        <f t="shared" si="15"/>
        <v>0</v>
      </c>
      <c r="M135" s="1134">
        <f>SUM(L135) - (SUM('ICS.Liabilities reconciliation'!N28)-SUM('ICS.Liabilities reconciliation'!N54))</f>
        <v>0</v>
      </c>
      <c r="O135" s="96" t="s">
        <v>87</v>
      </c>
    </row>
    <row r="136" spans="1:15" ht="14.25" x14ac:dyDescent="0.2">
      <c r="A136" s="287" t="s">
        <v>204</v>
      </c>
      <c r="B136" s="169">
        <v>29</v>
      </c>
      <c r="C136" s="271" t="str">
        <f>'BCR.Balance sheet'!C140</f>
        <v>-</v>
      </c>
      <c r="D136" s="133">
        <f t="shared" si="16"/>
        <v>0</v>
      </c>
      <c r="E136" s="133">
        <f t="shared" si="17"/>
        <v>0</v>
      </c>
      <c r="F136" s="271" t="str">
        <f>'BCR.Balance sheet'!F140</f>
        <v>-</v>
      </c>
      <c r="G136" s="271" t="str">
        <f>'BCR.Balance sheet'!G140</f>
        <v>-</v>
      </c>
      <c r="H136" s="271" t="str">
        <f>'BCR.Balance sheet'!H140</f>
        <v>-</v>
      </c>
      <c r="I136" s="271" t="str">
        <f>'BCR.Balance sheet'!I140</f>
        <v>-</v>
      </c>
      <c r="J136" s="285">
        <f t="shared" ref="J136:K138" si="27">SUM(F136)-SUM(H136)</f>
        <v>0</v>
      </c>
      <c r="K136" s="285">
        <f t="shared" si="27"/>
        <v>0</v>
      </c>
      <c r="L136" s="285">
        <f t="shared" si="15"/>
        <v>0</v>
      </c>
      <c r="M136" s="1134">
        <f>SUM(L136) - (SUM('ICS.Liabilities reconciliation'!N29)-SUM('ICS.Liabilities reconciliation'!N55))</f>
        <v>0</v>
      </c>
      <c r="O136" s="96" t="s">
        <v>87</v>
      </c>
    </row>
    <row r="137" spans="1:15" ht="14.25" x14ac:dyDescent="0.2">
      <c r="A137" s="287" t="s">
        <v>289</v>
      </c>
      <c r="B137" s="169">
        <v>30</v>
      </c>
      <c r="C137" s="271" t="str">
        <f>'BCR.Balance sheet'!C141</f>
        <v>-</v>
      </c>
      <c r="D137" s="133">
        <f t="shared" si="16"/>
        <v>0</v>
      </c>
      <c r="E137" s="133">
        <f t="shared" si="17"/>
        <v>0</v>
      </c>
      <c r="F137" s="271" t="str">
        <f>'BCR.Balance sheet'!F141</f>
        <v>-</v>
      </c>
      <c r="G137" s="271" t="str">
        <f>'BCR.Balance sheet'!G141</f>
        <v>-</v>
      </c>
      <c r="H137" s="271" t="str">
        <f>'BCR.Balance sheet'!H141</f>
        <v>-</v>
      </c>
      <c r="I137" s="271" t="str">
        <f>'BCR.Balance sheet'!I141</f>
        <v>-</v>
      </c>
      <c r="J137" s="285">
        <f t="shared" si="27"/>
        <v>0</v>
      </c>
      <c r="K137" s="285">
        <f t="shared" si="27"/>
        <v>0</v>
      </c>
      <c r="L137" s="285">
        <f t="shared" si="15"/>
        <v>0</v>
      </c>
      <c r="M137" s="1134">
        <f>SUM(L137) - (SUM('ICS.Liabilities reconciliation'!N30)-SUM('ICS.Liabilities reconciliation'!N56))</f>
        <v>0</v>
      </c>
      <c r="O137" s="96" t="s">
        <v>87</v>
      </c>
    </row>
    <row r="138" spans="1:15" ht="14.25" x14ac:dyDescent="0.2">
      <c r="A138" s="291" t="s">
        <v>290</v>
      </c>
      <c r="B138" s="169">
        <v>31</v>
      </c>
      <c r="C138" s="274" t="str">
        <f>'BCR.Balance sheet'!C142</f>
        <v>-</v>
      </c>
      <c r="D138" s="313">
        <f t="shared" si="16"/>
        <v>0</v>
      </c>
      <c r="E138" s="313">
        <f t="shared" si="17"/>
        <v>0</v>
      </c>
      <c r="F138" s="274" t="str">
        <f>'BCR.Balance sheet'!F142</f>
        <v>-</v>
      </c>
      <c r="G138" s="274" t="str">
        <f>'BCR.Balance sheet'!G142</f>
        <v>-</v>
      </c>
      <c r="H138" s="274" t="str">
        <f>'BCR.Balance sheet'!H142</f>
        <v>-</v>
      </c>
      <c r="I138" s="274" t="str">
        <f>'BCR.Balance sheet'!I142</f>
        <v>-</v>
      </c>
      <c r="J138" s="153">
        <f t="shared" si="27"/>
        <v>0</v>
      </c>
      <c r="K138" s="153">
        <f t="shared" si="27"/>
        <v>0</v>
      </c>
      <c r="L138" s="153">
        <f t="shared" si="15"/>
        <v>0</v>
      </c>
      <c r="M138" s="1135">
        <f>SUM(L138) - (SUM('ICS.Liabilities reconciliation'!N31)-SUM('ICS.Liabilities reconciliation'!N57))</f>
        <v>0</v>
      </c>
      <c r="O138" s="96" t="s">
        <v>87</v>
      </c>
    </row>
    <row r="139" spans="1:15" ht="14.25" x14ac:dyDescent="0.2">
      <c r="A139" s="1136" t="s">
        <v>1365</v>
      </c>
      <c r="B139" s="162">
        <v>32</v>
      </c>
      <c r="C139" s="144" t="s">
        <v>90</v>
      </c>
      <c r="O139" s="96" t="s">
        <v>87</v>
      </c>
    </row>
    <row r="140" spans="1:15" ht="14.25" x14ac:dyDescent="0.2">
      <c r="O140" s="96" t="s">
        <v>87</v>
      </c>
    </row>
    <row r="141" spans="1:15" ht="14.25" x14ac:dyDescent="0.2">
      <c r="A141" s="1137" t="s">
        <v>1366</v>
      </c>
      <c r="B141" s="883">
        <v>36</v>
      </c>
      <c r="C141" s="1138">
        <f>SUM(C130)-SUM('BCR.Balance sheet'!C125)</f>
        <v>0</v>
      </c>
      <c r="D141" s="1138">
        <f>SUM(D130)-SUM('BCR.Balance sheet'!D125)</f>
        <v>0</v>
      </c>
      <c r="E141" s="1138">
        <f>SUM(E130)-SUM('BCR.Balance sheet'!E125)</f>
        <v>0</v>
      </c>
      <c r="F141" s="1138">
        <f>SUM(F130)-SUM('BCR.Balance sheet'!F125)</f>
        <v>0</v>
      </c>
      <c r="G141" s="1138">
        <f>SUM(G130)-SUM('BCR.Balance sheet'!G125)</f>
        <v>0</v>
      </c>
      <c r="H141" s="1138">
        <f>SUM(H130)-SUM('BCR.Balance sheet'!H125)</f>
        <v>0</v>
      </c>
      <c r="I141" s="1138">
        <f>SUM(I130)-SUM('BCR.Balance sheet'!I125)</f>
        <v>0</v>
      </c>
      <c r="J141" s="1138">
        <f>SUM(J130)-SUM('BCR.Balance sheet'!J125)</f>
        <v>0</v>
      </c>
      <c r="K141" s="1138">
        <f>SUM(K130)-SUM('BCR.Balance sheet'!K125)</f>
        <v>0</v>
      </c>
      <c r="L141" s="1139">
        <f>SUM(L130)-SUM('BCR.Balance sheet'!L125)</f>
        <v>0</v>
      </c>
      <c r="O141" s="96" t="s">
        <v>87</v>
      </c>
    </row>
    <row r="142" spans="1:15" ht="14.25" x14ac:dyDescent="0.2">
      <c r="A142" s="1140" t="s">
        <v>1367</v>
      </c>
      <c r="B142" s="169">
        <v>37</v>
      </c>
      <c r="C142" s="1141">
        <f>SUM(C131)-SUM('BCR.Balance sheet'!C126)</f>
        <v>0</v>
      </c>
      <c r="D142" s="1141">
        <f>SUM(D131)-SUM('BCR.Balance sheet'!D126)</f>
        <v>0</v>
      </c>
      <c r="E142" s="1141">
        <f>SUM(E131)-SUM('BCR.Balance sheet'!E126)</f>
        <v>0</v>
      </c>
      <c r="F142" s="1141">
        <f>SUM(F131)-SUM('BCR.Balance sheet'!F126)</f>
        <v>0</v>
      </c>
      <c r="G142" s="1141">
        <f>SUM(G131)-SUM('BCR.Balance sheet'!G126)</f>
        <v>0</v>
      </c>
      <c r="H142" s="1141">
        <f>SUM(H131)-SUM('BCR.Balance sheet'!H126)</f>
        <v>0</v>
      </c>
      <c r="I142" s="1141">
        <f>SUM(I131)-SUM('BCR.Balance sheet'!I126)</f>
        <v>0</v>
      </c>
      <c r="J142" s="1141">
        <f>SUM(J131)-SUM('BCR.Balance sheet'!J126)</f>
        <v>0</v>
      </c>
      <c r="K142" s="1141">
        <f>SUM(K131)-SUM('BCR.Balance sheet'!K126)</f>
        <v>0</v>
      </c>
      <c r="L142" s="135">
        <f>SUM(L131)-SUM('BCR.Balance sheet'!L126)</f>
        <v>0</v>
      </c>
      <c r="O142" s="96" t="s">
        <v>87</v>
      </c>
    </row>
    <row r="143" spans="1:15" ht="14.25" x14ac:dyDescent="0.2">
      <c r="A143" s="1142" t="s">
        <v>1368</v>
      </c>
      <c r="B143" s="162">
        <v>38</v>
      </c>
      <c r="C143" s="1143">
        <f>SUM(C135)-SUM('BCR.Balance sheet'!C139)</f>
        <v>0</v>
      </c>
      <c r="D143" s="1143">
        <f>SUM(D135)-SUM('BCR.Balance sheet'!D139)</f>
        <v>0</v>
      </c>
      <c r="E143" s="1143">
        <f>SUM(E135)-SUM('BCR.Balance sheet'!E139)</f>
        <v>0</v>
      </c>
      <c r="F143" s="1143">
        <f>SUM(F135)-SUM('BCR.Balance sheet'!F139)</f>
        <v>0</v>
      </c>
      <c r="G143" s="1143">
        <f>SUM(G135)-SUM('BCR.Balance sheet'!G139)</f>
        <v>0</v>
      </c>
      <c r="H143" s="1143">
        <f>SUM(H135)-SUM('BCR.Balance sheet'!H139)</f>
        <v>0</v>
      </c>
      <c r="I143" s="1143">
        <f>SUM(I135)-SUM('BCR.Balance sheet'!I139)</f>
        <v>0</v>
      </c>
      <c r="J143" s="1143">
        <f>SUM(J135)-SUM('BCR.Balance sheet'!J139)</f>
        <v>0</v>
      </c>
      <c r="K143" s="1143">
        <f>SUM(K135)-SUM('BCR.Balance sheet'!K139)</f>
        <v>0</v>
      </c>
      <c r="L143" s="587">
        <f>SUM(L135)-SUM('BCR.Balance sheet'!L139)</f>
        <v>0</v>
      </c>
      <c r="O143" s="96" t="s">
        <v>87</v>
      </c>
    </row>
    <row r="144" spans="1:15" ht="14.25" x14ac:dyDescent="0.2">
      <c r="O144" s="96" t="s">
        <v>87</v>
      </c>
    </row>
    <row r="145" spans="1:15" ht="14.25" customHeight="1" x14ac:dyDescent="0.2">
      <c r="C145" s="1144" t="s">
        <v>1369</v>
      </c>
      <c r="D145" s="1145"/>
      <c r="E145" s="1145"/>
      <c r="F145" s="1145"/>
      <c r="G145" s="1145"/>
      <c r="H145" s="1145"/>
      <c r="I145" s="1146"/>
      <c r="K145" s="1147" t="s">
        <v>1370</v>
      </c>
      <c r="L145" s="1146"/>
      <c r="O145" s="96" t="s">
        <v>87</v>
      </c>
    </row>
    <row r="146" spans="1:15" ht="38.25" x14ac:dyDescent="0.3">
      <c r="B146" s="1148"/>
      <c r="C146" s="839" t="s">
        <v>370</v>
      </c>
      <c r="D146" s="444" t="s">
        <v>721</v>
      </c>
      <c r="E146" s="444" t="s">
        <v>722</v>
      </c>
      <c r="F146" s="444" t="s">
        <v>723</v>
      </c>
      <c r="G146" s="444" t="s">
        <v>724</v>
      </c>
      <c r="H146" s="444" t="s">
        <v>725</v>
      </c>
      <c r="I146" s="444" t="s">
        <v>726</v>
      </c>
      <c r="J146" s="486" t="s">
        <v>1371</v>
      </c>
      <c r="K146" s="278" t="s">
        <v>1372</v>
      </c>
      <c r="L146" s="278" t="s">
        <v>1373</v>
      </c>
      <c r="O146" s="96" t="s">
        <v>87</v>
      </c>
    </row>
    <row r="147" spans="1:15" ht="15" x14ac:dyDescent="0.2">
      <c r="A147" s="1149" t="s">
        <v>367</v>
      </c>
      <c r="B147" s="104">
        <v>141</v>
      </c>
      <c r="C147" s="105" t="s">
        <v>1374</v>
      </c>
      <c r="D147" s="105">
        <v>2</v>
      </c>
      <c r="E147" s="105">
        <v>3</v>
      </c>
      <c r="F147" s="105">
        <v>4</v>
      </c>
      <c r="G147" s="105">
        <v>5</v>
      </c>
      <c r="H147" s="105">
        <v>6</v>
      </c>
      <c r="I147" s="106">
        <v>7</v>
      </c>
      <c r="J147" s="106"/>
      <c r="K147" s="493">
        <v>8</v>
      </c>
      <c r="L147" s="214">
        <v>9</v>
      </c>
      <c r="O147" s="96" t="s">
        <v>87</v>
      </c>
    </row>
    <row r="148" spans="1:15" ht="14.25" x14ac:dyDescent="0.2">
      <c r="A148" s="1150" t="s">
        <v>1375</v>
      </c>
      <c r="B148" s="223">
        <v>1</v>
      </c>
      <c r="C148" s="127">
        <f t="shared" ref="C148:I148" si="28">SUM(C150,C166)</f>
        <v>0</v>
      </c>
      <c r="D148" s="127">
        <f t="shared" si="28"/>
        <v>0</v>
      </c>
      <c r="E148" s="127">
        <f t="shared" si="28"/>
        <v>0</v>
      </c>
      <c r="F148" s="127">
        <f t="shared" si="28"/>
        <v>0</v>
      </c>
      <c r="G148" s="127">
        <f t="shared" si="28"/>
        <v>0</v>
      </c>
      <c r="H148" s="127">
        <f t="shared" si="28"/>
        <v>0</v>
      </c>
      <c r="I148" s="127">
        <f t="shared" si="28"/>
        <v>0</v>
      </c>
      <c r="J148" s="1151">
        <f t="shared" ref="J148:J166" si="29">SUM(C148)-SUM(L112)</f>
        <v>0</v>
      </c>
      <c r="K148" s="226">
        <f>SUM(L112,L110)</f>
        <v>0</v>
      </c>
      <c r="L148" s="226">
        <f>SUM(L112,L111)</f>
        <v>0</v>
      </c>
      <c r="O148" s="96" t="s">
        <v>87</v>
      </c>
    </row>
    <row r="149" spans="1:15" ht="14.25" x14ac:dyDescent="0.2">
      <c r="A149" s="1133" t="s">
        <v>1364</v>
      </c>
      <c r="B149" s="223">
        <v>2</v>
      </c>
      <c r="C149" s="133">
        <f>SUM(D149:I149)</f>
        <v>0</v>
      </c>
      <c r="D149" s="137" t="s">
        <v>90</v>
      </c>
      <c r="E149" s="137" t="s">
        <v>90</v>
      </c>
      <c r="F149" s="137" t="s">
        <v>90</v>
      </c>
      <c r="G149" s="137" t="s">
        <v>90</v>
      </c>
      <c r="H149" s="137" t="s">
        <v>90</v>
      </c>
      <c r="I149" s="137" t="s">
        <v>90</v>
      </c>
      <c r="J149" s="1152">
        <f t="shared" si="29"/>
        <v>0</v>
      </c>
      <c r="O149" s="96" t="s">
        <v>87</v>
      </c>
    </row>
    <row r="150" spans="1:15" ht="14.25" x14ac:dyDescent="0.2">
      <c r="A150" s="1153" t="s">
        <v>1376</v>
      </c>
      <c r="B150" s="223">
        <v>3</v>
      </c>
      <c r="C150" s="133">
        <f t="shared" ref="C150:I150" si="30">SUM(C151,C159)</f>
        <v>0</v>
      </c>
      <c r="D150" s="133">
        <f t="shared" si="30"/>
        <v>0</v>
      </c>
      <c r="E150" s="133">
        <f t="shared" si="30"/>
        <v>0</v>
      </c>
      <c r="F150" s="133">
        <f t="shared" si="30"/>
        <v>0</v>
      </c>
      <c r="G150" s="133">
        <f t="shared" si="30"/>
        <v>0</v>
      </c>
      <c r="H150" s="133">
        <f t="shared" si="30"/>
        <v>0</v>
      </c>
      <c r="I150" s="133">
        <f t="shared" si="30"/>
        <v>0</v>
      </c>
      <c r="J150" s="1152">
        <f t="shared" si="29"/>
        <v>0</v>
      </c>
      <c r="O150" s="96" t="s">
        <v>87</v>
      </c>
    </row>
    <row r="151" spans="1:15" ht="14.25" x14ac:dyDescent="0.2">
      <c r="A151" s="1154" t="s">
        <v>262</v>
      </c>
      <c r="B151" s="223">
        <v>4</v>
      </c>
      <c r="C151" s="133">
        <f t="shared" ref="C151:I151" si="31">SUM(C152:C158)</f>
        <v>0</v>
      </c>
      <c r="D151" s="133">
        <f t="shared" si="31"/>
        <v>0</v>
      </c>
      <c r="E151" s="133">
        <f t="shared" si="31"/>
        <v>0</v>
      </c>
      <c r="F151" s="133">
        <f t="shared" si="31"/>
        <v>0</v>
      </c>
      <c r="G151" s="133">
        <f t="shared" si="31"/>
        <v>0</v>
      </c>
      <c r="H151" s="133">
        <f t="shared" si="31"/>
        <v>0</v>
      </c>
      <c r="I151" s="133">
        <f t="shared" si="31"/>
        <v>0</v>
      </c>
      <c r="J151" s="1152">
        <f t="shared" si="29"/>
        <v>0</v>
      </c>
      <c r="O151" s="96" t="s">
        <v>87</v>
      </c>
    </row>
    <row r="152" spans="1:15" ht="14.25" x14ac:dyDescent="0.2">
      <c r="A152" s="314" t="s">
        <v>263</v>
      </c>
      <c r="B152" s="223">
        <v>5</v>
      </c>
      <c r="C152" s="133">
        <f t="shared" ref="C152:C158" si="32">SUM(D152:I152)</f>
        <v>0</v>
      </c>
      <c r="D152" s="137" t="s">
        <v>90</v>
      </c>
      <c r="E152" s="137" t="s">
        <v>90</v>
      </c>
      <c r="F152" s="137" t="s">
        <v>90</v>
      </c>
      <c r="G152" s="137" t="s">
        <v>90</v>
      </c>
      <c r="H152" s="137" t="s">
        <v>90</v>
      </c>
      <c r="I152" s="137" t="s">
        <v>90</v>
      </c>
      <c r="J152" s="1152">
        <f t="shared" si="29"/>
        <v>0</v>
      </c>
      <c r="O152" s="96" t="s">
        <v>87</v>
      </c>
    </row>
    <row r="153" spans="1:15" ht="14.25" x14ac:dyDescent="0.2">
      <c r="A153" s="314" t="s">
        <v>264</v>
      </c>
      <c r="B153" s="223">
        <v>6</v>
      </c>
      <c r="C153" s="133">
        <f t="shared" si="32"/>
        <v>0</v>
      </c>
      <c r="D153" s="137" t="s">
        <v>90</v>
      </c>
      <c r="E153" s="137" t="s">
        <v>90</v>
      </c>
      <c r="F153" s="137" t="s">
        <v>90</v>
      </c>
      <c r="G153" s="137" t="s">
        <v>90</v>
      </c>
      <c r="H153" s="137" t="s">
        <v>90</v>
      </c>
      <c r="I153" s="137" t="s">
        <v>90</v>
      </c>
      <c r="J153" s="1152">
        <f t="shared" si="29"/>
        <v>0</v>
      </c>
      <c r="O153" s="96" t="s">
        <v>87</v>
      </c>
    </row>
    <row r="154" spans="1:15" ht="14.25" x14ac:dyDescent="0.2">
      <c r="A154" s="314" t="s">
        <v>265</v>
      </c>
      <c r="B154" s="223">
        <v>7</v>
      </c>
      <c r="C154" s="133">
        <f t="shared" si="32"/>
        <v>0</v>
      </c>
      <c r="D154" s="137" t="s">
        <v>90</v>
      </c>
      <c r="E154" s="137" t="s">
        <v>90</v>
      </c>
      <c r="F154" s="137" t="s">
        <v>90</v>
      </c>
      <c r="G154" s="137" t="s">
        <v>90</v>
      </c>
      <c r="H154" s="137" t="s">
        <v>90</v>
      </c>
      <c r="I154" s="137" t="s">
        <v>90</v>
      </c>
      <c r="J154" s="1152">
        <f t="shared" si="29"/>
        <v>0</v>
      </c>
      <c r="O154" s="96" t="s">
        <v>87</v>
      </c>
    </row>
    <row r="155" spans="1:15" ht="14.25" x14ac:dyDescent="0.2">
      <c r="A155" s="314" t="s">
        <v>266</v>
      </c>
      <c r="B155" s="223">
        <v>8</v>
      </c>
      <c r="C155" s="133">
        <f t="shared" si="32"/>
        <v>0</v>
      </c>
      <c r="D155" s="137" t="s">
        <v>90</v>
      </c>
      <c r="E155" s="137" t="s">
        <v>90</v>
      </c>
      <c r="F155" s="137" t="s">
        <v>90</v>
      </c>
      <c r="G155" s="137" t="s">
        <v>90</v>
      </c>
      <c r="H155" s="137" t="s">
        <v>90</v>
      </c>
      <c r="I155" s="137" t="s">
        <v>90</v>
      </c>
      <c r="J155" s="1152">
        <f t="shared" si="29"/>
        <v>0</v>
      </c>
      <c r="O155" s="96" t="s">
        <v>87</v>
      </c>
    </row>
    <row r="156" spans="1:15" ht="14.25" x14ac:dyDescent="0.2">
      <c r="A156" s="314" t="s">
        <v>188</v>
      </c>
      <c r="B156" s="223">
        <v>9</v>
      </c>
      <c r="C156" s="133">
        <f t="shared" si="32"/>
        <v>0</v>
      </c>
      <c r="D156" s="137" t="s">
        <v>90</v>
      </c>
      <c r="E156" s="137" t="s">
        <v>90</v>
      </c>
      <c r="F156" s="137" t="s">
        <v>90</v>
      </c>
      <c r="G156" s="137" t="s">
        <v>90</v>
      </c>
      <c r="H156" s="137" t="s">
        <v>90</v>
      </c>
      <c r="I156" s="137" t="s">
        <v>90</v>
      </c>
      <c r="J156" s="1152">
        <f t="shared" si="29"/>
        <v>0</v>
      </c>
      <c r="O156" s="96" t="s">
        <v>87</v>
      </c>
    </row>
    <row r="157" spans="1:15" ht="14.25" x14ac:dyDescent="0.2">
      <c r="A157" s="314" t="s">
        <v>186</v>
      </c>
      <c r="B157" s="223">
        <v>10</v>
      </c>
      <c r="C157" s="133">
        <f t="shared" si="32"/>
        <v>0</v>
      </c>
      <c r="D157" s="137" t="s">
        <v>90</v>
      </c>
      <c r="E157" s="137" t="s">
        <v>90</v>
      </c>
      <c r="F157" s="137" t="s">
        <v>90</v>
      </c>
      <c r="G157" s="137" t="s">
        <v>90</v>
      </c>
      <c r="H157" s="137" t="s">
        <v>90</v>
      </c>
      <c r="I157" s="137" t="s">
        <v>90</v>
      </c>
      <c r="J157" s="1152">
        <f t="shared" si="29"/>
        <v>0</v>
      </c>
      <c r="O157" s="96" t="s">
        <v>87</v>
      </c>
    </row>
    <row r="158" spans="1:15" ht="14.25" x14ac:dyDescent="0.2">
      <c r="A158" s="314" t="s">
        <v>267</v>
      </c>
      <c r="B158" s="223">
        <v>11</v>
      </c>
      <c r="C158" s="133">
        <f t="shared" si="32"/>
        <v>0</v>
      </c>
      <c r="D158" s="137" t="s">
        <v>90</v>
      </c>
      <c r="E158" s="137" t="s">
        <v>90</v>
      </c>
      <c r="F158" s="137" t="s">
        <v>90</v>
      </c>
      <c r="G158" s="137" t="s">
        <v>90</v>
      </c>
      <c r="H158" s="137" t="s">
        <v>90</v>
      </c>
      <c r="I158" s="137" t="s">
        <v>90</v>
      </c>
      <c r="J158" s="1152">
        <f t="shared" si="29"/>
        <v>0</v>
      </c>
      <c r="O158" s="96" t="s">
        <v>87</v>
      </c>
    </row>
    <row r="159" spans="1:15" ht="14.25" x14ac:dyDescent="0.2">
      <c r="A159" s="1154" t="s">
        <v>268</v>
      </c>
      <c r="B159" s="223">
        <v>12</v>
      </c>
      <c r="C159" s="133">
        <f t="shared" ref="C159:I159" si="33">SUM(C160,C163:C165)</f>
        <v>0</v>
      </c>
      <c r="D159" s="133">
        <f t="shared" si="33"/>
        <v>0</v>
      </c>
      <c r="E159" s="133">
        <f t="shared" si="33"/>
        <v>0</v>
      </c>
      <c r="F159" s="133">
        <f t="shared" si="33"/>
        <v>0</v>
      </c>
      <c r="G159" s="133">
        <f t="shared" si="33"/>
        <v>0</v>
      </c>
      <c r="H159" s="133">
        <f t="shared" si="33"/>
        <v>0</v>
      </c>
      <c r="I159" s="133">
        <f t="shared" si="33"/>
        <v>0</v>
      </c>
      <c r="J159" s="1152">
        <f t="shared" si="29"/>
        <v>0</v>
      </c>
      <c r="O159" s="96" t="s">
        <v>87</v>
      </c>
    </row>
    <row r="160" spans="1:15" ht="14.25" x14ac:dyDescent="0.2">
      <c r="A160" s="314" t="s">
        <v>1377</v>
      </c>
      <c r="B160" s="223">
        <v>13</v>
      </c>
      <c r="C160" s="133">
        <f>SUM(D160:I160)</f>
        <v>0</v>
      </c>
      <c r="D160" s="137" t="s">
        <v>90</v>
      </c>
      <c r="E160" s="137" t="s">
        <v>90</v>
      </c>
      <c r="F160" s="137" t="s">
        <v>90</v>
      </c>
      <c r="G160" s="137" t="s">
        <v>90</v>
      </c>
      <c r="H160" s="137" t="s">
        <v>90</v>
      </c>
      <c r="I160" s="137" t="s">
        <v>90</v>
      </c>
      <c r="J160" s="1152">
        <f t="shared" si="29"/>
        <v>0</v>
      </c>
      <c r="O160" s="96" t="s">
        <v>87</v>
      </c>
    </row>
    <row r="161" spans="1:15" ht="14.25" x14ac:dyDescent="0.2">
      <c r="A161" s="288" t="s">
        <v>270</v>
      </c>
      <c r="B161" s="223">
        <v>14</v>
      </c>
      <c r="C161" s="133"/>
      <c r="D161" s="137"/>
      <c r="E161" s="137"/>
      <c r="F161" s="137"/>
      <c r="G161" s="137"/>
      <c r="H161" s="137"/>
      <c r="I161" s="137"/>
      <c r="J161" s="1152">
        <f t="shared" si="29"/>
        <v>0</v>
      </c>
      <c r="O161" s="96" t="s">
        <v>87</v>
      </c>
    </row>
    <row r="162" spans="1:15" ht="14.25" x14ac:dyDescent="0.2">
      <c r="A162" s="1155" t="s">
        <v>271</v>
      </c>
      <c r="B162" s="223">
        <v>15</v>
      </c>
      <c r="C162" s="133">
        <f>SUM(D162:I162)</f>
        <v>0</v>
      </c>
      <c r="D162" s="137" t="s">
        <v>90</v>
      </c>
      <c r="E162" s="137" t="s">
        <v>90</v>
      </c>
      <c r="F162" s="137" t="s">
        <v>90</v>
      </c>
      <c r="G162" s="137" t="s">
        <v>90</v>
      </c>
      <c r="H162" s="137" t="s">
        <v>90</v>
      </c>
      <c r="I162" s="137" t="s">
        <v>90</v>
      </c>
      <c r="J162" s="1152">
        <f t="shared" si="29"/>
        <v>0</v>
      </c>
      <c r="O162" s="96" t="s">
        <v>87</v>
      </c>
    </row>
    <row r="163" spans="1:15" ht="14.25" x14ac:dyDescent="0.2">
      <c r="A163" s="314" t="s">
        <v>272</v>
      </c>
      <c r="B163" s="223">
        <v>16</v>
      </c>
      <c r="C163" s="133">
        <f>SUM(D163:I163)</f>
        <v>0</v>
      </c>
      <c r="D163" s="137" t="s">
        <v>90</v>
      </c>
      <c r="E163" s="137" t="s">
        <v>90</v>
      </c>
      <c r="F163" s="137" t="s">
        <v>90</v>
      </c>
      <c r="G163" s="137" t="s">
        <v>90</v>
      </c>
      <c r="H163" s="137" t="s">
        <v>90</v>
      </c>
      <c r="I163" s="137" t="s">
        <v>90</v>
      </c>
      <c r="J163" s="1152">
        <f t="shared" si="29"/>
        <v>0</v>
      </c>
      <c r="O163" s="96" t="s">
        <v>87</v>
      </c>
    </row>
    <row r="164" spans="1:15" ht="14.25" x14ac:dyDescent="0.2">
      <c r="A164" s="314" t="s">
        <v>273</v>
      </c>
      <c r="B164" s="223">
        <v>17</v>
      </c>
      <c r="C164" s="133">
        <f>SUM(D164:I164)</f>
        <v>0</v>
      </c>
      <c r="D164" s="137" t="s">
        <v>90</v>
      </c>
      <c r="E164" s="137" t="s">
        <v>90</v>
      </c>
      <c r="F164" s="137" t="s">
        <v>90</v>
      </c>
      <c r="G164" s="137" t="s">
        <v>90</v>
      </c>
      <c r="H164" s="137" t="s">
        <v>90</v>
      </c>
      <c r="I164" s="137" t="s">
        <v>90</v>
      </c>
      <c r="J164" s="1152">
        <f t="shared" si="29"/>
        <v>0</v>
      </c>
      <c r="O164" s="96" t="s">
        <v>87</v>
      </c>
    </row>
    <row r="165" spans="1:15" ht="14.25" x14ac:dyDescent="0.2">
      <c r="A165" s="314" t="s">
        <v>274</v>
      </c>
      <c r="B165" s="223">
        <v>18</v>
      </c>
      <c r="C165" s="133">
        <f>SUM(D165:I165)</f>
        <v>0</v>
      </c>
      <c r="D165" s="137" t="s">
        <v>90</v>
      </c>
      <c r="E165" s="137" t="s">
        <v>90</v>
      </c>
      <c r="F165" s="137" t="s">
        <v>90</v>
      </c>
      <c r="G165" s="137" t="s">
        <v>90</v>
      </c>
      <c r="H165" s="137" t="s">
        <v>90</v>
      </c>
      <c r="I165" s="137" t="s">
        <v>90</v>
      </c>
      <c r="J165" s="1152">
        <f t="shared" si="29"/>
        <v>0</v>
      </c>
      <c r="O165" s="96" t="s">
        <v>87</v>
      </c>
    </row>
    <row r="166" spans="1:15" ht="14.25" x14ac:dyDescent="0.2">
      <c r="A166" s="1153" t="s">
        <v>275</v>
      </c>
      <c r="B166" s="223">
        <v>19</v>
      </c>
      <c r="C166" s="133">
        <f t="shared" ref="C166:I166" si="34">SUM(C167:C172)</f>
        <v>0</v>
      </c>
      <c r="D166" s="133">
        <f t="shared" si="34"/>
        <v>0</v>
      </c>
      <c r="E166" s="133">
        <f t="shared" si="34"/>
        <v>0</v>
      </c>
      <c r="F166" s="133">
        <f t="shared" si="34"/>
        <v>0</v>
      </c>
      <c r="G166" s="133">
        <f t="shared" si="34"/>
        <v>0</v>
      </c>
      <c r="H166" s="133">
        <f t="shared" si="34"/>
        <v>0</v>
      </c>
      <c r="I166" s="133">
        <f t="shared" si="34"/>
        <v>0</v>
      </c>
      <c r="J166" s="1152">
        <f t="shared" si="29"/>
        <v>0</v>
      </c>
      <c r="O166" s="96" t="s">
        <v>87</v>
      </c>
    </row>
    <row r="167" spans="1:15" ht="14.25" x14ac:dyDescent="0.2">
      <c r="A167" s="270" t="s">
        <v>709</v>
      </c>
      <c r="B167" s="223">
        <v>20</v>
      </c>
      <c r="C167" s="133">
        <f t="shared" ref="C167:C172" si="35">SUM(D167:I167)</f>
        <v>0</v>
      </c>
      <c r="D167" s="137" t="s">
        <v>90</v>
      </c>
      <c r="E167" s="137" t="s">
        <v>90</v>
      </c>
      <c r="F167" s="137" t="s">
        <v>90</v>
      </c>
      <c r="G167" s="137" t="s">
        <v>90</v>
      </c>
      <c r="H167" s="137" t="s">
        <v>90</v>
      </c>
      <c r="I167" s="137" t="s">
        <v>90</v>
      </c>
      <c r="J167" s="1152">
        <f>SUM(C167)-SUM(L132)</f>
        <v>0</v>
      </c>
      <c r="O167" s="96" t="s">
        <v>87</v>
      </c>
    </row>
    <row r="168" spans="1:15" ht="14.25" x14ac:dyDescent="0.2">
      <c r="A168" s="270" t="s">
        <v>710</v>
      </c>
      <c r="B168" s="223">
        <v>21</v>
      </c>
      <c r="C168" s="133">
        <f t="shared" si="35"/>
        <v>0</v>
      </c>
      <c r="D168" s="137" t="s">
        <v>90</v>
      </c>
      <c r="E168" s="137" t="s">
        <v>90</v>
      </c>
      <c r="F168" s="137" t="s">
        <v>90</v>
      </c>
      <c r="G168" s="137" t="s">
        <v>90</v>
      </c>
      <c r="H168" s="137" t="s">
        <v>90</v>
      </c>
      <c r="I168" s="137" t="s">
        <v>90</v>
      </c>
      <c r="J168" s="1152">
        <f>SUM(C168)-SUM(L133)</f>
        <v>0</v>
      </c>
      <c r="O168" s="96" t="s">
        <v>87</v>
      </c>
    </row>
    <row r="169" spans="1:15" ht="14.25" x14ac:dyDescent="0.2">
      <c r="A169" s="270" t="s">
        <v>267</v>
      </c>
      <c r="B169" s="223">
        <v>22</v>
      </c>
      <c r="C169" s="133">
        <f t="shared" si="35"/>
        <v>0</v>
      </c>
      <c r="D169" s="137" t="s">
        <v>90</v>
      </c>
      <c r="E169" s="137" t="s">
        <v>90</v>
      </c>
      <c r="F169" s="137" t="s">
        <v>90</v>
      </c>
      <c r="G169" s="137" t="s">
        <v>90</v>
      </c>
      <c r="H169" s="137" t="s">
        <v>90</v>
      </c>
      <c r="I169" s="137" t="s">
        <v>90</v>
      </c>
      <c r="J169" s="1152">
        <f>SUM(C169)-SUM(L134)</f>
        <v>0</v>
      </c>
      <c r="O169" s="96" t="s">
        <v>87</v>
      </c>
    </row>
    <row r="170" spans="1:15" ht="14.25" x14ac:dyDescent="0.2">
      <c r="A170" s="270" t="s">
        <v>204</v>
      </c>
      <c r="B170" s="223">
        <v>23</v>
      </c>
      <c r="C170" s="133">
        <f t="shared" si="35"/>
        <v>0</v>
      </c>
      <c r="D170" s="137" t="s">
        <v>90</v>
      </c>
      <c r="E170" s="137" t="s">
        <v>90</v>
      </c>
      <c r="F170" s="137" t="s">
        <v>90</v>
      </c>
      <c r="G170" s="137" t="s">
        <v>90</v>
      </c>
      <c r="H170" s="137" t="s">
        <v>90</v>
      </c>
      <c r="I170" s="137" t="s">
        <v>90</v>
      </c>
      <c r="J170" s="1152">
        <f>SUM(C170)-SUM(L136)</f>
        <v>0</v>
      </c>
      <c r="O170" s="96" t="s">
        <v>87</v>
      </c>
    </row>
    <row r="171" spans="1:15" ht="14.25" x14ac:dyDescent="0.2">
      <c r="A171" s="270" t="s">
        <v>289</v>
      </c>
      <c r="B171" s="223">
        <v>24</v>
      </c>
      <c r="C171" s="133">
        <f t="shared" si="35"/>
        <v>0</v>
      </c>
      <c r="D171" s="137" t="s">
        <v>90</v>
      </c>
      <c r="E171" s="137" t="s">
        <v>90</v>
      </c>
      <c r="F171" s="137" t="s">
        <v>90</v>
      </c>
      <c r="G171" s="137" t="s">
        <v>90</v>
      </c>
      <c r="H171" s="137" t="s">
        <v>90</v>
      </c>
      <c r="I171" s="137" t="s">
        <v>90</v>
      </c>
      <c r="J171" s="1152">
        <f>SUM(C171)-SUM(L137)</f>
        <v>0</v>
      </c>
      <c r="O171" s="96" t="s">
        <v>87</v>
      </c>
    </row>
    <row r="172" spans="1:15" ht="14.25" x14ac:dyDescent="0.2">
      <c r="A172" s="1156" t="s">
        <v>290</v>
      </c>
      <c r="B172" s="322">
        <v>25</v>
      </c>
      <c r="C172" s="313">
        <f t="shared" si="35"/>
        <v>0</v>
      </c>
      <c r="D172" s="139" t="s">
        <v>90</v>
      </c>
      <c r="E172" s="139" t="s">
        <v>90</v>
      </c>
      <c r="F172" s="139" t="s">
        <v>90</v>
      </c>
      <c r="G172" s="139" t="s">
        <v>90</v>
      </c>
      <c r="H172" s="139" t="s">
        <v>90</v>
      </c>
      <c r="I172" s="139" t="s">
        <v>90</v>
      </c>
      <c r="J172" s="1157">
        <f>SUM(C172)-SUM(L138)</f>
        <v>0</v>
      </c>
      <c r="O172" s="96" t="s">
        <v>87</v>
      </c>
    </row>
    <row r="173" spans="1:15" ht="14.25" x14ac:dyDescent="0.2">
      <c r="O173" s="96" t="s">
        <v>87</v>
      </c>
    </row>
    <row r="174" spans="1:15" ht="14.25" x14ac:dyDescent="0.2">
      <c r="A174" s="96" t="s">
        <v>87</v>
      </c>
      <c r="B174" s="96" t="s">
        <v>87</v>
      </c>
      <c r="C174" s="96" t="s">
        <v>87</v>
      </c>
      <c r="D174" s="96" t="s">
        <v>87</v>
      </c>
      <c r="E174" s="96" t="s">
        <v>87</v>
      </c>
      <c r="F174" s="96" t="s">
        <v>87</v>
      </c>
      <c r="G174" s="96" t="s">
        <v>87</v>
      </c>
      <c r="H174" s="96" t="s">
        <v>87</v>
      </c>
      <c r="I174" s="96" t="s">
        <v>87</v>
      </c>
      <c r="J174" s="96" t="s">
        <v>87</v>
      </c>
      <c r="K174" s="96" t="s">
        <v>87</v>
      </c>
      <c r="L174" s="96" t="s">
        <v>87</v>
      </c>
      <c r="M174" s="96" t="s">
        <v>87</v>
      </c>
      <c r="N174" s="96" t="s">
        <v>87</v>
      </c>
      <c r="O174" s="96" t="s">
        <v>87</v>
      </c>
    </row>
  </sheetData>
  <printOptions horizontalCentered="1"/>
  <pageMargins left="0.19685039370078741" right="0.19685039370078741" top="0.15748031496062992" bottom="0.15748031496062992" header="0" footer="0"/>
  <pageSetup paperSize="9" scale="75" fitToWidth="2" fitToHeight="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FF00"/>
  </sheetPr>
  <dimension ref="A1:AS131"/>
  <sheetViews>
    <sheetView zoomScaleNormal="100" workbookViewId="0">
      <selection activeCell="A8" sqref="A8"/>
    </sheetView>
  </sheetViews>
  <sheetFormatPr defaultRowHeight="12.75" x14ac:dyDescent="0.2"/>
  <cols>
    <col min="1" max="1" width="66.140625" customWidth="1"/>
    <col min="2" max="2" width="4.140625" customWidth="1"/>
    <col min="3" max="3" width="15.28515625" customWidth="1"/>
    <col min="4" max="4" width="19.85546875" customWidth="1"/>
    <col min="5" max="5" width="17.28515625" customWidth="1"/>
    <col min="6" max="6" width="15.5703125" customWidth="1"/>
    <col min="7" max="7" width="12.28515625" customWidth="1"/>
    <col min="8" max="8" width="15.28515625" customWidth="1"/>
    <col min="10" max="10" width="2.28515625" customWidth="1"/>
  </cols>
  <sheetData>
    <row r="1" spans="1:10" ht="14.25" x14ac:dyDescent="0.2">
      <c r="A1" s="93" t="str">
        <f>FT15.Participant!$A$1</f>
        <v>&lt;IAIG's Name&gt;</v>
      </c>
      <c r="B1" s="94"/>
      <c r="C1" s="94"/>
      <c r="D1" s="94"/>
      <c r="E1" s="611" t="str">
        <f>Version</f>
        <v>2015 IAIS Field Testing Template</v>
      </c>
      <c r="J1" s="96" t="s">
        <v>87</v>
      </c>
    </row>
    <row r="2" spans="1:10" ht="15" x14ac:dyDescent="0.25">
      <c r="A2" s="97" t="str">
        <f>FT15.Participant!$A$2</f>
        <v>&lt;Currency&gt; - (&lt;Unit&gt;)</v>
      </c>
      <c r="B2" s="98" t="s">
        <v>1372</v>
      </c>
      <c r="C2" s="99"/>
      <c r="D2" s="99"/>
      <c r="E2" s="100" t="str">
        <f>FT15.Participant!$E$2</f>
        <v xml:space="preserve">&lt;Reporting Date&gt; - </v>
      </c>
      <c r="J2" s="96" t="s">
        <v>87</v>
      </c>
    </row>
    <row r="3" spans="1:10" ht="14.25" x14ac:dyDescent="0.2">
      <c r="J3" s="96" t="s">
        <v>87</v>
      </c>
    </row>
    <row r="4" spans="1:10" ht="14.25" x14ac:dyDescent="0.2">
      <c r="C4" s="400" t="s">
        <v>1378</v>
      </c>
      <c r="J4" s="96" t="s">
        <v>87</v>
      </c>
    </row>
    <row r="5" spans="1:10" ht="14.25" x14ac:dyDescent="0.2">
      <c r="B5" s="124">
        <v>176</v>
      </c>
      <c r="C5" s="106" t="s">
        <v>1379</v>
      </c>
      <c r="J5" s="96"/>
    </row>
    <row r="6" spans="1:10" ht="14.25" x14ac:dyDescent="0.2">
      <c r="A6" s="640" t="s">
        <v>1380</v>
      </c>
      <c r="B6" s="1158">
        <v>1</v>
      </c>
      <c r="C6" s="219">
        <f>SUM(F30,F27)</f>
        <v>0</v>
      </c>
      <c r="J6" s="96" t="s">
        <v>87</v>
      </c>
    </row>
    <row r="7" spans="1:10" ht="14.25" x14ac:dyDescent="0.2">
      <c r="J7" s="96" t="s">
        <v>87</v>
      </c>
    </row>
    <row r="8" spans="1:10" ht="15" x14ac:dyDescent="0.25">
      <c r="A8" s="937" t="s">
        <v>1381</v>
      </c>
      <c r="B8" s="1159"/>
      <c r="C8" s="1160" t="s">
        <v>1382</v>
      </c>
      <c r="D8" s="1161" t="s">
        <v>1383</v>
      </c>
      <c r="E8" s="1162" t="s">
        <v>1384</v>
      </c>
      <c r="F8" s="970"/>
      <c r="J8" s="96" t="s">
        <v>87</v>
      </c>
    </row>
    <row r="9" spans="1:10" ht="15" x14ac:dyDescent="0.25">
      <c r="A9" s="641"/>
      <c r="B9" s="1163"/>
      <c r="C9" s="1163" t="s">
        <v>1385</v>
      </c>
      <c r="D9" s="1001" t="s">
        <v>1386</v>
      </c>
      <c r="E9" s="1164" t="s">
        <v>1387</v>
      </c>
      <c r="F9" s="1164" t="s">
        <v>1388</v>
      </c>
      <c r="J9" s="96" t="s">
        <v>87</v>
      </c>
    </row>
    <row r="10" spans="1:10" ht="14.25" x14ac:dyDescent="0.2">
      <c r="A10" s="103"/>
      <c r="B10" s="124">
        <v>142</v>
      </c>
      <c r="C10" s="105">
        <v>1</v>
      </c>
      <c r="D10" s="105">
        <v>2</v>
      </c>
      <c r="E10" s="105">
        <v>3</v>
      </c>
      <c r="F10" s="214">
        <v>4</v>
      </c>
      <c r="J10" s="96" t="s">
        <v>87</v>
      </c>
    </row>
    <row r="11" spans="1:10" ht="14.25" x14ac:dyDescent="0.2">
      <c r="A11" s="1165" t="s">
        <v>1389</v>
      </c>
      <c r="B11" s="169">
        <v>1</v>
      </c>
      <c r="C11" s="1166"/>
      <c r="D11" s="1167">
        <f>SUM(ICS!C56,SQRT(SUMPRODUCT(-C12:C16,MMULT(--ICS!$N51:$R55,-C12:C16))))</f>
        <v>0</v>
      </c>
      <c r="E11" s="1168">
        <f>SUM(E12:E18)</f>
        <v>0</v>
      </c>
      <c r="F11" s="1168">
        <f>SUM(F12:F18)</f>
        <v>0</v>
      </c>
      <c r="G11" s="1169"/>
      <c r="J11" s="96" t="s">
        <v>87</v>
      </c>
    </row>
    <row r="12" spans="1:10" ht="14.25" x14ac:dyDescent="0.2">
      <c r="A12" s="112" t="s">
        <v>1390</v>
      </c>
      <c r="B12" s="1170">
        <v>2</v>
      </c>
      <c r="C12" s="935">
        <f>SUM(ICS!C51)*IFERROR((SUM('ICS.Non-Life type risk'!C20:C304)-0.5*SUMPRODUCT('ICS.Non-Life type risk'!D20:D304,'ICS.Non-Life type risk'!L20:L304))/SUM('ICS.Non-Life type risk'!C20:C304),1)</f>
        <v>0</v>
      </c>
      <c r="D12" s="133">
        <f t="shared" ref="D12:D18" si="0">IFERROR($D$11*C12/SUM($C$12:$C$18),0)</f>
        <v>0</v>
      </c>
      <c r="E12" s="1171"/>
      <c r="F12" s="285">
        <f>D12</f>
        <v>0</v>
      </c>
      <c r="J12" s="96" t="s">
        <v>87</v>
      </c>
    </row>
    <row r="13" spans="1:10" ht="14.25" x14ac:dyDescent="0.2">
      <c r="A13" s="112" t="s">
        <v>1391</v>
      </c>
      <c r="B13" s="1170">
        <v>3</v>
      </c>
      <c r="C13" s="935">
        <f>SUM(ICS!D52)</f>
        <v>0</v>
      </c>
      <c r="D13" s="133">
        <f t="shared" si="0"/>
        <v>0</v>
      </c>
      <c r="E13" s="137" t="s">
        <v>90</v>
      </c>
      <c r="F13" s="285">
        <f>D13-SUM(E13)</f>
        <v>0</v>
      </c>
      <c r="G13" t="s">
        <v>1392</v>
      </c>
      <c r="J13" s="96" t="s">
        <v>87</v>
      </c>
    </row>
    <row r="14" spans="1:10" ht="14.25" x14ac:dyDescent="0.2">
      <c r="A14" s="112" t="s">
        <v>1393</v>
      </c>
      <c r="B14" s="1170">
        <v>4</v>
      </c>
      <c r="C14" s="935">
        <f>SUM(ICS!D53)</f>
        <v>0</v>
      </c>
      <c r="D14" s="133">
        <f t="shared" si="0"/>
        <v>0</v>
      </c>
      <c r="E14" s="285">
        <f>D14</f>
        <v>0</v>
      </c>
      <c r="F14" s="1171"/>
      <c r="J14" s="96" t="s">
        <v>87</v>
      </c>
    </row>
    <row r="15" spans="1:10" ht="14.25" x14ac:dyDescent="0.2">
      <c r="A15" s="112" t="s">
        <v>1394</v>
      </c>
      <c r="B15" s="1170">
        <v>5</v>
      </c>
      <c r="C15" s="935">
        <f>SUM('ICS.Market risk'!D12)</f>
        <v>0</v>
      </c>
      <c r="D15" s="133">
        <f t="shared" si="0"/>
        <v>0</v>
      </c>
      <c r="E15" s="137" t="s">
        <v>90</v>
      </c>
      <c r="F15" s="285">
        <f>D15-SUM(E15)</f>
        <v>0</v>
      </c>
      <c r="G15" t="s">
        <v>1395</v>
      </c>
      <c r="J15" s="96" t="s">
        <v>87</v>
      </c>
    </row>
    <row r="16" spans="1:10" ht="14.25" x14ac:dyDescent="0.2">
      <c r="A16" s="112" t="s">
        <v>1396</v>
      </c>
      <c r="B16" s="1170">
        <v>6</v>
      </c>
      <c r="C16" s="935">
        <f>SUM('ICS.Credit risk'!C12)</f>
        <v>0</v>
      </c>
      <c r="D16" s="133">
        <f t="shared" si="0"/>
        <v>0</v>
      </c>
      <c r="E16" s="137" t="s">
        <v>90</v>
      </c>
      <c r="F16" s="285">
        <f>D16-SUM(E16)</f>
        <v>0</v>
      </c>
      <c r="G16" t="s">
        <v>1395</v>
      </c>
      <c r="J16" s="96" t="s">
        <v>87</v>
      </c>
    </row>
    <row r="17" spans="1:10" ht="14.25" x14ac:dyDescent="0.2">
      <c r="A17" s="112" t="s">
        <v>1397</v>
      </c>
      <c r="B17" s="1170">
        <v>7</v>
      </c>
      <c r="C17" s="935">
        <f>SUM('ICS.Operational risk'!C8:C9)</f>
        <v>0</v>
      </c>
      <c r="D17" s="133">
        <f t="shared" si="0"/>
        <v>0</v>
      </c>
      <c r="E17" s="285">
        <f>D17</f>
        <v>0</v>
      </c>
      <c r="F17" s="1171"/>
      <c r="J17" s="96" t="s">
        <v>87</v>
      </c>
    </row>
    <row r="18" spans="1:10" ht="14.25" x14ac:dyDescent="0.2">
      <c r="A18" s="112" t="s">
        <v>1398</v>
      </c>
      <c r="B18" s="1170">
        <v>8</v>
      </c>
      <c r="C18" s="1172">
        <f>SUM('ICS.Operational risk'!C7)</f>
        <v>0</v>
      </c>
      <c r="D18" s="313">
        <f t="shared" si="0"/>
        <v>0</v>
      </c>
      <c r="E18" s="1173"/>
      <c r="F18" s="153">
        <f>D18</f>
        <v>0</v>
      </c>
      <c r="J18" s="96" t="s">
        <v>87</v>
      </c>
    </row>
    <row r="19" spans="1:10" ht="15" x14ac:dyDescent="0.25">
      <c r="A19" s="1174" t="s">
        <v>1399</v>
      </c>
      <c r="B19" s="1170">
        <v>9</v>
      </c>
      <c r="C19" s="1175">
        <v>0.06</v>
      </c>
      <c r="J19" s="96" t="s">
        <v>87</v>
      </c>
    </row>
    <row r="20" spans="1:10" ht="15" x14ac:dyDescent="0.25">
      <c r="A20" s="311" t="s">
        <v>1400</v>
      </c>
      <c r="B20" s="1176">
        <v>10</v>
      </c>
      <c r="C20" s="1177" t="str">
        <f>IF(0=LEN(FT15.Participant!C14),"-",FT15.Participant!C14)</f>
        <v>-</v>
      </c>
      <c r="J20" s="96" t="s">
        <v>87</v>
      </c>
    </row>
    <row r="21" spans="1:10" ht="14.25" x14ac:dyDescent="0.2">
      <c r="J21" s="96" t="s">
        <v>87</v>
      </c>
    </row>
    <row r="22" spans="1:10" ht="14.25" x14ac:dyDescent="0.2">
      <c r="J22" s="96" t="s">
        <v>87</v>
      </c>
    </row>
    <row r="23" spans="1:10" ht="15" x14ac:dyDescent="0.25">
      <c r="C23" s="1178" t="s">
        <v>1401</v>
      </c>
      <c r="D23" s="1179"/>
      <c r="E23" s="1179"/>
      <c r="F23" s="968"/>
      <c r="J23" s="96" t="s">
        <v>87</v>
      </c>
    </row>
    <row r="24" spans="1:10" ht="14.25" x14ac:dyDescent="0.2">
      <c r="A24" s="1180" t="s">
        <v>698</v>
      </c>
      <c r="B24" s="207"/>
      <c r="C24" s="1181"/>
      <c r="D24" s="1181" t="s">
        <v>1402</v>
      </c>
      <c r="E24" s="1182" t="s">
        <v>1403</v>
      </c>
      <c r="F24" s="1183" t="s">
        <v>1404</v>
      </c>
      <c r="J24" s="96" t="s">
        <v>87</v>
      </c>
    </row>
    <row r="25" spans="1:10" ht="14.25" x14ac:dyDescent="0.2">
      <c r="A25" s="1184"/>
      <c r="B25" s="124">
        <v>143</v>
      </c>
      <c r="C25" s="105">
        <v>1</v>
      </c>
      <c r="D25" s="105">
        <v>2</v>
      </c>
      <c r="E25" s="105">
        <v>3</v>
      </c>
      <c r="F25" s="106">
        <v>4</v>
      </c>
      <c r="J25" s="96" t="s">
        <v>87</v>
      </c>
    </row>
    <row r="26" spans="1:10" ht="14.25" x14ac:dyDescent="0.2">
      <c r="A26" s="1185"/>
      <c r="B26" s="234"/>
      <c r="C26" s="1166"/>
      <c r="D26" s="1166"/>
      <c r="E26" s="1166"/>
      <c r="F26" s="1166"/>
      <c r="J26" s="96" t="s">
        <v>87</v>
      </c>
    </row>
    <row r="27" spans="1:10" ht="14.25" x14ac:dyDescent="0.2">
      <c r="A27" s="1153" t="s">
        <v>1405</v>
      </c>
      <c r="B27" s="234">
        <v>1</v>
      </c>
      <c r="C27" s="1186"/>
      <c r="D27" s="285">
        <f>E11</f>
        <v>0</v>
      </c>
      <c r="E27" s="1186"/>
      <c r="F27" s="285">
        <f>$C$19*D27*(1+SUMPRODUCT($F$40:$F$128,$G$40:$G$128))</f>
        <v>0</v>
      </c>
      <c r="H27" s="571"/>
      <c r="J27" s="96" t="s">
        <v>87</v>
      </c>
    </row>
    <row r="28" spans="1:10" ht="14.25" x14ac:dyDescent="0.2">
      <c r="A28" s="1187"/>
      <c r="B28" s="234"/>
      <c r="C28" s="1186"/>
      <c r="D28" s="1186"/>
      <c r="E28" s="1186"/>
      <c r="F28" s="1186"/>
      <c r="J28" s="96" t="s">
        <v>87</v>
      </c>
    </row>
    <row r="29" spans="1:10" ht="42.75" x14ac:dyDescent="0.2">
      <c r="A29" s="1188" t="s">
        <v>1406</v>
      </c>
      <c r="B29" s="234"/>
      <c r="C29" s="1189" t="s">
        <v>1407</v>
      </c>
      <c r="D29" s="1189" t="s">
        <v>1402</v>
      </c>
      <c r="E29" s="1190" t="s">
        <v>1408</v>
      </c>
      <c r="F29" s="1191" t="s">
        <v>1404</v>
      </c>
      <c r="J29" s="96" t="s">
        <v>87</v>
      </c>
    </row>
    <row r="30" spans="1:10" ht="14.25" x14ac:dyDescent="0.2">
      <c r="A30" s="1192" t="s">
        <v>275</v>
      </c>
      <c r="B30" s="234">
        <v>2</v>
      </c>
      <c r="C30" s="740">
        <f>SUM(C31:C33)</f>
        <v>0</v>
      </c>
      <c r="D30" s="1138">
        <f>SUM(D31:D33)</f>
        <v>0</v>
      </c>
      <c r="E30" s="1193"/>
      <c r="F30" s="1139">
        <f>SUM(F31:F33)</f>
        <v>0</v>
      </c>
      <c r="J30" s="96" t="s">
        <v>87</v>
      </c>
    </row>
    <row r="31" spans="1:10" ht="14.25" x14ac:dyDescent="0.2">
      <c r="A31" s="270" t="s">
        <v>1409</v>
      </c>
      <c r="B31" s="234">
        <v>3</v>
      </c>
      <c r="C31" s="1194">
        <f>SUMIF('ICS.Non-Life type risk'!$U$20:$U$304,E31,'ICS.Non-Life type risk'!$C$20:$C$304)</f>
        <v>0</v>
      </c>
      <c r="D31" s="1195">
        <f>IFERROR(F$11 *C31 /SUM($C$31:$C$33),0)</f>
        <v>0</v>
      </c>
      <c r="E31" s="1196" t="s">
        <v>749</v>
      </c>
      <c r="F31" s="135">
        <f>$C$19*D31*(1+SUMPRODUCT(INDEX($C$40:$E$128,,MATCH(E31,$C$37:$E$37,0)),$G$40:$G$128))</f>
        <v>0</v>
      </c>
      <c r="J31" s="96" t="s">
        <v>87</v>
      </c>
    </row>
    <row r="32" spans="1:10" ht="14.25" x14ac:dyDescent="0.2">
      <c r="A32" s="270" t="s">
        <v>1410</v>
      </c>
      <c r="B32" s="234">
        <v>4</v>
      </c>
      <c r="C32" s="1194">
        <f>SUMIF('ICS.Non-Life type risk'!$U$20:$U$304,E32,'ICS.Non-Life type risk'!$C$20:$C$304)</f>
        <v>0</v>
      </c>
      <c r="D32" s="1195">
        <f t="shared" ref="D32:D33" si="1">IFERROR(F$11 *C32 /SUM($C$31:$C$33),0)</f>
        <v>0</v>
      </c>
      <c r="E32" s="1196" t="s">
        <v>754</v>
      </c>
      <c r="F32" s="135">
        <f>$C$19*D32*(1+SUMPRODUCT(INDEX($C$40:$E$128,,MATCH(E32,$C$37:$E$37,0)),$G$40:$G$128))</f>
        <v>0</v>
      </c>
      <c r="J32" s="96" t="s">
        <v>87</v>
      </c>
    </row>
    <row r="33" spans="1:45" ht="14.25" x14ac:dyDescent="0.2">
      <c r="A33" s="1156" t="s">
        <v>1411</v>
      </c>
      <c r="B33" s="261">
        <v>5</v>
      </c>
      <c r="C33" s="1197">
        <f>SUMIF('ICS.Non-Life type risk'!$U$20:$U$304,E33,'ICS.Non-Life type risk'!$C$20:$C$304)</f>
        <v>0</v>
      </c>
      <c r="D33" s="1198">
        <f t="shared" si="1"/>
        <v>0</v>
      </c>
      <c r="E33" s="1199" t="s">
        <v>751</v>
      </c>
      <c r="F33" s="587">
        <f>$C$19*D33*(1+SUMPRODUCT(INDEX($C$40:$E$128,,MATCH(E33,$C$37:$E$37,0)),$G$40:$G$128))</f>
        <v>0</v>
      </c>
      <c r="J33" s="96" t="s">
        <v>87</v>
      </c>
    </row>
    <row r="34" spans="1:45" ht="14.25" x14ac:dyDescent="0.2">
      <c r="C34" s="1200"/>
      <c r="D34" s="1200"/>
      <c r="J34" s="96" t="s">
        <v>87</v>
      </c>
    </row>
    <row r="35" spans="1:45" ht="14.25" x14ac:dyDescent="0.2">
      <c r="C35" s="571"/>
      <c r="D35" s="571"/>
      <c r="J35" s="96" t="s">
        <v>87</v>
      </c>
    </row>
    <row r="36" spans="1:45" ht="38.25" x14ac:dyDescent="0.2">
      <c r="A36" s="1528" t="s">
        <v>1412</v>
      </c>
      <c r="B36" s="1201"/>
      <c r="C36" s="1202" t="s">
        <v>1406</v>
      </c>
      <c r="D36" s="1203"/>
      <c r="E36" s="1204"/>
      <c r="F36" s="1205" t="s">
        <v>698</v>
      </c>
      <c r="G36" s="1206" t="s">
        <v>1413</v>
      </c>
      <c r="H36" s="1207" t="s">
        <v>1414</v>
      </c>
      <c r="J36" s="96" t="s">
        <v>87</v>
      </c>
    </row>
    <row r="37" spans="1:45" ht="15" x14ac:dyDescent="0.2">
      <c r="A37" s="1547"/>
      <c r="B37" s="1208"/>
      <c r="C37" s="1209" t="s">
        <v>1415</v>
      </c>
      <c r="D37" s="823" t="s">
        <v>1416</v>
      </c>
      <c r="E37" s="1210" t="s">
        <v>1417</v>
      </c>
      <c r="F37" s="1211"/>
      <c r="G37" s="1212"/>
      <c r="H37" s="1212"/>
      <c r="J37" s="96" t="s">
        <v>87</v>
      </c>
    </row>
    <row r="38" spans="1:45" ht="15" x14ac:dyDescent="0.2">
      <c r="A38" s="1213"/>
      <c r="B38" s="124">
        <v>144</v>
      </c>
      <c r="C38" s="105"/>
      <c r="D38" s="105"/>
      <c r="E38" s="105"/>
      <c r="F38" s="105">
        <v>1</v>
      </c>
      <c r="G38" s="105">
        <v>2</v>
      </c>
      <c r="H38" s="214">
        <v>0</v>
      </c>
      <c r="J38" s="96" t="s">
        <v>87</v>
      </c>
      <c r="K38" s="4" t="s">
        <v>1418</v>
      </c>
      <c r="L38" s="4" t="s">
        <v>1419</v>
      </c>
      <c r="M38" s="4" t="s">
        <v>1420</v>
      </c>
      <c r="N38" s="4" t="s">
        <v>1421</v>
      </c>
      <c r="O38" s="4" t="s">
        <v>1422</v>
      </c>
      <c r="P38" s="4" t="s">
        <v>1423</v>
      </c>
      <c r="Q38" s="4" t="s">
        <v>1424</v>
      </c>
      <c r="R38" s="4" t="s">
        <v>1425</v>
      </c>
      <c r="S38" s="4" t="s">
        <v>1426</v>
      </c>
      <c r="T38" s="4" t="s">
        <v>1427</v>
      </c>
      <c r="U38" s="4" t="s">
        <v>1428</v>
      </c>
      <c r="V38" s="4" t="s">
        <v>1429</v>
      </c>
      <c r="W38" s="4" t="s">
        <v>1430</v>
      </c>
      <c r="X38" s="4" t="s">
        <v>1431</v>
      </c>
      <c r="Y38" s="4" t="s">
        <v>1432</v>
      </c>
      <c r="Z38" s="4" t="s">
        <v>1433</v>
      </c>
      <c r="AA38" s="4" t="s">
        <v>1434</v>
      </c>
      <c r="AB38" s="4" t="s">
        <v>1435</v>
      </c>
      <c r="AC38" s="4" t="s">
        <v>1436</v>
      </c>
      <c r="AD38" s="4" t="s">
        <v>1437</v>
      </c>
      <c r="AE38" s="4" t="s">
        <v>1438</v>
      </c>
      <c r="AF38" s="4" t="s">
        <v>1439</v>
      </c>
      <c r="AG38" s="4" t="s">
        <v>1440</v>
      </c>
      <c r="AH38" s="4" t="s">
        <v>1441</v>
      </c>
      <c r="AI38" s="4" t="s">
        <v>1442</v>
      </c>
      <c r="AJ38" s="4" t="s">
        <v>1443</v>
      </c>
      <c r="AK38" s="4" t="s">
        <v>1444</v>
      </c>
      <c r="AL38" s="4" t="s">
        <v>1445</v>
      </c>
      <c r="AM38" s="4" t="s">
        <v>1446</v>
      </c>
      <c r="AN38" s="4" t="s">
        <v>1447</v>
      </c>
      <c r="AO38" s="4" t="s">
        <v>1448</v>
      </c>
      <c r="AP38" s="4" t="s">
        <v>1449</v>
      </c>
      <c r="AQ38" s="4" t="s">
        <v>1450</v>
      </c>
      <c r="AR38" s="4" t="s">
        <v>1451</v>
      </c>
      <c r="AS38" s="4" t="s">
        <v>1452</v>
      </c>
    </row>
    <row r="39" spans="1:45" ht="15" x14ac:dyDescent="0.2">
      <c r="A39" s="1214" t="s">
        <v>1403</v>
      </c>
      <c r="B39" s="169">
        <v>101</v>
      </c>
      <c r="C39" s="1215"/>
      <c r="D39" s="1216"/>
      <c r="E39" s="1217"/>
      <c r="F39" s="1218"/>
      <c r="G39" s="1216"/>
      <c r="H39" s="1219" t="str">
        <f>C20</f>
        <v>-</v>
      </c>
      <c r="J39" s="96" t="s">
        <v>87</v>
      </c>
      <c r="K39" s="4" t="s">
        <v>1160</v>
      </c>
      <c r="L39" s="4" t="s">
        <v>1161</v>
      </c>
      <c r="M39" s="4" t="s">
        <v>1162</v>
      </c>
      <c r="N39" s="4" t="s">
        <v>1163</v>
      </c>
      <c r="O39" s="4" t="s">
        <v>1164</v>
      </c>
      <c r="P39" s="4" t="s">
        <v>1165</v>
      </c>
      <c r="Q39" s="4" t="s">
        <v>1166</v>
      </c>
      <c r="R39" s="4" t="s">
        <v>1167</v>
      </c>
      <c r="S39" s="4" t="s">
        <v>1168</v>
      </c>
      <c r="T39" s="4" t="s">
        <v>1169</v>
      </c>
      <c r="U39" s="4" t="s">
        <v>1170</v>
      </c>
      <c r="V39" s="4" t="s">
        <v>1171</v>
      </c>
      <c r="W39" s="4" t="s">
        <v>1172</v>
      </c>
      <c r="X39" s="4" t="s">
        <v>1173</v>
      </c>
      <c r="Y39" s="4" t="s">
        <v>1174</v>
      </c>
      <c r="Z39" s="4" t="s">
        <v>1175</v>
      </c>
      <c r="AA39" s="4" t="s">
        <v>1176</v>
      </c>
      <c r="AB39" s="4" t="s">
        <v>1177</v>
      </c>
      <c r="AC39" s="4" t="s">
        <v>1178</v>
      </c>
      <c r="AD39" s="4" t="s">
        <v>1179</v>
      </c>
      <c r="AE39" s="4" t="s">
        <v>1180</v>
      </c>
      <c r="AF39" s="4" t="s">
        <v>1181</v>
      </c>
      <c r="AG39" s="4" t="s">
        <v>1182</v>
      </c>
      <c r="AH39" s="4" t="s">
        <v>1183</v>
      </c>
      <c r="AI39" s="4" t="s">
        <v>1184</v>
      </c>
      <c r="AJ39" s="4" t="s">
        <v>1185</v>
      </c>
      <c r="AK39" s="4" t="s">
        <v>1186</v>
      </c>
      <c r="AL39" s="4" t="s">
        <v>1187</v>
      </c>
      <c r="AM39" s="4" t="s">
        <v>1188</v>
      </c>
      <c r="AN39" s="4" t="s">
        <v>1189</v>
      </c>
      <c r="AO39" s="4" t="s">
        <v>1190</v>
      </c>
      <c r="AP39" s="4" t="s">
        <v>1191</v>
      </c>
      <c r="AQ39" s="4" t="s">
        <v>1192</v>
      </c>
      <c r="AR39" s="4" t="s">
        <v>1193</v>
      </c>
      <c r="AS39" s="4" t="s">
        <v>1194</v>
      </c>
    </row>
    <row r="40" spans="1:45" ht="15" x14ac:dyDescent="0.2">
      <c r="A40" s="1220">
        <v>1</v>
      </c>
      <c r="B40" s="169">
        <v>1</v>
      </c>
      <c r="C40" s="645">
        <v>0.1</v>
      </c>
      <c r="D40" s="645">
        <v>0.2</v>
      </c>
      <c r="E40" s="645">
        <v>0.3</v>
      </c>
      <c r="F40" s="1221" t="s">
        <v>684</v>
      </c>
      <c r="G40" s="1222">
        <f t="shared" ref="G40:G71" si="2">1/(1+SUM(H40))^A40</f>
        <v>1</v>
      </c>
      <c r="H40" s="1223" t="str">
        <f t="shared" ref="H40:H103" si="3">IF($H$38,INDEX(K40:AS40,$H$38),"-")</f>
        <v>-</v>
      </c>
      <c r="J40" s="96" t="s">
        <v>87</v>
      </c>
      <c r="K40" s="1224">
        <v>2.5785153910747649E-2</v>
      </c>
      <c r="L40" s="1224">
        <v>0.12939300000000165</v>
      </c>
      <c r="M40" s="1224">
        <v>1.237416191498486E-2</v>
      </c>
      <c r="N40" s="1224">
        <v>-2.1499999999325947E-3</v>
      </c>
      <c r="O40" s="1224">
        <v>2.8501649167889997E-2</v>
      </c>
      <c r="P40" s="1224">
        <v>3.3721092138011111E-2</v>
      </c>
      <c r="Q40" s="1224">
        <v>3.4336502791790791E-2</v>
      </c>
      <c r="R40" s="1224">
        <v>1.8999999999993467E-3</v>
      </c>
      <c r="S40" s="1224">
        <v>3.2247919610837172E-3</v>
      </c>
      <c r="T40" s="1224">
        <v>6.1500000011549538E-4</v>
      </c>
      <c r="U40" s="1224">
        <v>6.3821667916603708E-3</v>
      </c>
      <c r="V40" s="1224">
        <v>4.0060090133819948E-3</v>
      </c>
      <c r="W40" s="1224">
        <v>1.6710000000117242E-2</v>
      </c>
      <c r="X40" s="1224">
        <v>7.3500000000009447E-2</v>
      </c>
      <c r="Y40" s="1224">
        <v>1.9999999999085194E-3</v>
      </c>
      <c r="Z40" s="1224">
        <v>7.3000000000084553E-2</v>
      </c>
      <c r="AA40" s="1224">
        <v>4.3754785661054285E-4</v>
      </c>
      <c r="AB40" s="1224">
        <v>1.954216928143504E-2</v>
      </c>
      <c r="AC40" s="1224">
        <v>3.2620000000193494E-2</v>
      </c>
      <c r="AD40" s="1224">
        <v>3.7777707349606837E-2</v>
      </c>
      <c r="AE40" s="1224">
        <v>1.1241999999986874E-2</v>
      </c>
      <c r="AF40" s="1224">
        <v>3.6597814081320346E-2</v>
      </c>
      <c r="AG40" s="1224">
        <v>5.7619999999953375E-2</v>
      </c>
      <c r="AH40" s="1224">
        <v>9.7500000000094733E-3</v>
      </c>
      <c r="AI40" s="1224">
        <v>1.7109999999945558E-2</v>
      </c>
      <c r="AJ40" s="1224">
        <v>1.8499999999910921E-2</v>
      </c>
      <c r="AK40" s="1224">
        <v>0.20600000000131158</v>
      </c>
      <c r="AL40" s="1224">
        <v>6.8500000001410211E-3</v>
      </c>
      <c r="AM40" s="1224">
        <v>1.4099999999865886E-3</v>
      </c>
      <c r="AN40" s="1224">
        <v>6.4854984011966099E-3</v>
      </c>
      <c r="AO40" s="1224">
        <v>1.7677782241917184E-2</v>
      </c>
      <c r="AP40" s="1224">
        <v>9.5099999997252382E-3</v>
      </c>
      <c r="AQ40" s="1224">
        <v>8.1246787115485386E-3</v>
      </c>
      <c r="AR40" s="1224">
        <v>3.4259317405738177E-3</v>
      </c>
      <c r="AS40" s="1224">
        <v>6.5089905310105278E-2</v>
      </c>
    </row>
    <row r="41" spans="1:45" ht="15" x14ac:dyDescent="0.2">
      <c r="A41" s="1220">
        <v>2</v>
      </c>
      <c r="B41" s="169">
        <v>2</v>
      </c>
      <c r="C41" s="744">
        <v>0.08</v>
      </c>
      <c r="D41" s="744">
        <v>0.15</v>
      </c>
      <c r="E41" s="744">
        <v>0.08</v>
      </c>
      <c r="F41" s="1225" t="s">
        <v>684</v>
      </c>
      <c r="G41" s="1226">
        <f t="shared" si="2"/>
        <v>1</v>
      </c>
      <c r="H41" s="1227" t="str">
        <f t="shared" si="3"/>
        <v>-</v>
      </c>
      <c r="J41" s="96" t="s">
        <v>87</v>
      </c>
      <c r="K41" s="1224">
        <v>2.456533091710944E-2</v>
      </c>
      <c r="L41" s="1224">
        <v>0.12963700000000289</v>
      </c>
      <c r="M41" s="1224">
        <v>1.341574257583722E-2</v>
      </c>
      <c r="N41" s="1224">
        <v>-2.3597522519925862E-3</v>
      </c>
      <c r="O41" s="1224">
        <v>3.0252816273959704E-2</v>
      </c>
      <c r="P41" s="1224">
        <v>3.3616827491751211E-2</v>
      </c>
      <c r="Q41" s="1224">
        <v>4.2004840116697695E-2</v>
      </c>
      <c r="R41" s="1224">
        <v>2.9014514504002165E-3</v>
      </c>
      <c r="S41" s="1224">
        <v>3.2300084111238636E-3</v>
      </c>
      <c r="T41" s="1224">
        <v>7.5005063194555355E-4</v>
      </c>
      <c r="U41" s="1224">
        <v>8.3384426089643249E-3</v>
      </c>
      <c r="V41" s="1224">
        <v>8.6478552218796079E-3</v>
      </c>
      <c r="W41" s="1224">
        <v>2.117000000011382E-2</v>
      </c>
      <c r="X41" s="1224">
        <v>7.6500000000010449E-2</v>
      </c>
      <c r="Y41" s="1224">
        <v>4.2999999999100424E-3</v>
      </c>
      <c r="Z41" s="1224">
        <v>6.2850000000083561E-2</v>
      </c>
      <c r="AA41" s="1224">
        <v>4.375478566167601E-4</v>
      </c>
      <c r="AB41" s="1224">
        <v>1.9670261675630352E-2</v>
      </c>
      <c r="AC41" s="1224">
        <v>3.8490000000192426E-2</v>
      </c>
      <c r="AD41" s="1224">
        <v>3.7725311627602842E-2</v>
      </c>
      <c r="AE41" s="1224">
        <v>1.0948401765408011E-2</v>
      </c>
      <c r="AF41" s="1224">
        <v>3.7359416032236803E-2</v>
      </c>
      <c r="AG41" s="1224">
        <v>5.1796999999953464E-2</v>
      </c>
      <c r="AH41" s="1224">
        <v>1.5000000000008784E-2</v>
      </c>
      <c r="AI41" s="1224">
        <v>1.7059999999947006E-2</v>
      </c>
      <c r="AJ41" s="1224">
        <v>2.011610564200228E-2</v>
      </c>
      <c r="AK41" s="1224">
        <v>0.1622746096097063</v>
      </c>
      <c r="AL41" s="1224">
        <v>1.1150000000136773E-2</v>
      </c>
      <c r="AM41" s="1224">
        <v>1.7202666826232615E-3</v>
      </c>
      <c r="AN41" s="1224">
        <v>1.0042867699722402E-2</v>
      </c>
      <c r="AO41" s="1224">
        <v>1.8390604437033442E-2</v>
      </c>
      <c r="AP41" s="1224">
        <v>1.1964614553977126E-2</v>
      </c>
      <c r="AQ41" s="1224">
        <v>8.8322482120906098E-3</v>
      </c>
      <c r="AR41" s="1224">
        <v>8.0345139242479213E-3</v>
      </c>
      <c r="AS41" s="1224">
        <v>6.9015788165544656E-2</v>
      </c>
    </row>
    <row r="42" spans="1:45" ht="15" x14ac:dyDescent="0.2">
      <c r="A42" s="1220">
        <v>3</v>
      </c>
      <c r="B42" s="169">
        <v>3</v>
      </c>
      <c r="C42" s="744">
        <v>0.02</v>
      </c>
      <c r="D42" s="744">
        <v>0.02</v>
      </c>
      <c r="E42" s="744">
        <v>0.05</v>
      </c>
      <c r="F42" s="1225" t="s">
        <v>684</v>
      </c>
      <c r="G42" s="1226">
        <f t="shared" si="2"/>
        <v>1</v>
      </c>
      <c r="H42" s="1227" t="str">
        <f t="shared" si="3"/>
        <v>-</v>
      </c>
      <c r="J42" s="96" t="s">
        <v>87</v>
      </c>
      <c r="K42" s="1224">
        <v>2.4300737434711284E-2</v>
      </c>
      <c r="L42" s="1224">
        <v>0.12804200000000088</v>
      </c>
      <c r="M42" s="1224">
        <v>1.4707638726220162E-2</v>
      </c>
      <c r="N42" s="1224">
        <v>-1.9905967490665422E-3</v>
      </c>
      <c r="O42" s="1224">
        <v>3.2658979990227044E-2</v>
      </c>
      <c r="P42" s="1224">
        <v>3.4041723118490408E-2</v>
      </c>
      <c r="Q42" s="1224">
        <v>4.5418974537539736E-2</v>
      </c>
      <c r="R42" s="1224">
        <v>3.3325468593818908E-3</v>
      </c>
      <c r="S42" s="1224">
        <v>3.8132253528164739E-3</v>
      </c>
      <c r="T42" s="1224">
        <v>1.2046014280704398E-3</v>
      </c>
      <c r="U42" s="1224">
        <v>1.0384643174410124E-2</v>
      </c>
      <c r="V42" s="1224">
        <v>1.2371476318310926E-2</v>
      </c>
      <c r="W42" s="1224">
        <v>2.5690000000113677E-2</v>
      </c>
      <c r="X42" s="1224">
        <v>6.1564012232368182E-2</v>
      </c>
      <c r="Y42" s="1224">
        <v>7.1999999999126096E-3</v>
      </c>
      <c r="Z42" s="1224">
        <v>6.2850000000082673E-2</v>
      </c>
      <c r="AA42" s="1224">
        <v>5.3762602323481623E-4</v>
      </c>
      <c r="AB42" s="1224">
        <v>2.0161773727741306E-2</v>
      </c>
      <c r="AC42" s="1224">
        <v>4.5220000000197214E-2</v>
      </c>
      <c r="AD42" s="1224">
        <v>3.8473828221423645E-2</v>
      </c>
      <c r="AE42" s="1224">
        <v>1.120172075777992E-2</v>
      </c>
      <c r="AF42" s="1224">
        <v>3.8095732153201611E-2</v>
      </c>
      <c r="AG42" s="1224">
        <v>5.1899999999955204E-2</v>
      </c>
      <c r="AH42" s="1224">
        <v>1.9000000000009676E-2</v>
      </c>
      <c r="AI42" s="1224">
        <v>1.8329999999948443E-2</v>
      </c>
      <c r="AJ42" s="1224">
        <v>2.2054034225770458E-2</v>
      </c>
      <c r="AK42" s="1224">
        <v>0.14241560692128652</v>
      </c>
      <c r="AL42" s="1224">
        <v>1.550000000013485E-2</v>
      </c>
      <c r="AM42" s="1224">
        <v>2.7230081045024335E-3</v>
      </c>
      <c r="AN42" s="1224">
        <v>1.3594677518409037E-2</v>
      </c>
      <c r="AO42" s="1224">
        <v>1.9727237509585827E-2</v>
      </c>
      <c r="AP42" s="1224">
        <v>1.5252187209936485E-2</v>
      </c>
      <c r="AQ42" s="1224">
        <v>9.8484172103543433E-3</v>
      </c>
      <c r="AR42" s="1224">
        <v>1.2093437735571921E-2</v>
      </c>
      <c r="AS42" s="1224">
        <v>7.1575752762877309E-2</v>
      </c>
    </row>
    <row r="43" spans="1:45" ht="15" x14ac:dyDescent="0.2">
      <c r="A43" s="1220">
        <v>4</v>
      </c>
      <c r="B43" s="169">
        <v>4</v>
      </c>
      <c r="C43" s="1228"/>
      <c r="D43" s="744">
        <v>0.01</v>
      </c>
      <c r="E43" s="744">
        <v>0.05</v>
      </c>
      <c r="F43" s="1225" t="s">
        <v>684</v>
      </c>
      <c r="G43" s="1226">
        <f t="shared" si="2"/>
        <v>1</v>
      </c>
      <c r="H43" s="1227" t="str">
        <f t="shared" si="3"/>
        <v>-</v>
      </c>
      <c r="J43" s="96" t="s">
        <v>87</v>
      </c>
      <c r="K43" s="1224">
        <v>2.4864534524902115E-2</v>
      </c>
      <c r="L43" s="1224">
        <v>0.1241200000000009</v>
      </c>
      <c r="M43" s="1224">
        <v>1.5848429364096361E-2</v>
      </c>
      <c r="N43" s="1224">
        <v>-1.3416089039850476E-3</v>
      </c>
      <c r="O43" s="1224">
        <v>3.5105684252185743E-2</v>
      </c>
      <c r="P43" s="1224">
        <v>3.447065658354953E-2</v>
      </c>
      <c r="Q43" s="1224">
        <v>4.7921395250971832E-2</v>
      </c>
      <c r="R43" s="1224">
        <v>3.7847320566375409E-3</v>
      </c>
      <c r="S43" s="1224">
        <v>4.6014375708474109E-3</v>
      </c>
      <c r="T43" s="1224">
        <v>1.8374299996750665E-3</v>
      </c>
      <c r="U43" s="1224">
        <v>1.2152996727295973E-2</v>
      </c>
      <c r="V43" s="1224">
        <v>1.5209034745504946E-2</v>
      </c>
      <c r="W43" s="1224">
        <v>2.843000000011453E-2</v>
      </c>
      <c r="X43" s="1224">
        <v>5.4449227211036177E-2</v>
      </c>
      <c r="Y43" s="1224">
        <v>9.9999999999131894E-3</v>
      </c>
      <c r="Z43" s="1224">
        <v>6.315000000008153E-2</v>
      </c>
      <c r="AA43" s="1224">
        <v>8.25588527435972E-4</v>
      </c>
      <c r="AB43" s="1224">
        <v>2.0709196501232707E-2</v>
      </c>
      <c r="AC43" s="1224">
        <v>4.9970000000199688E-2</v>
      </c>
      <c r="AD43" s="1224">
        <v>3.9340833855534107E-2</v>
      </c>
      <c r="AE43" s="1224">
        <v>1.1964949523602719E-2</v>
      </c>
      <c r="AF43" s="1224">
        <v>3.8626805601505332E-2</v>
      </c>
      <c r="AG43" s="1224">
        <v>5.1899999999954982E-2</v>
      </c>
      <c r="AH43" s="1224">
        <v>2.2000000000009567E-2</v>
      </c>
      <c r="AI43" s="1224">
        <v>1.9819999999948212E-2</v>
      </c>
      <c r="AJ43" s="1224">
        <v>2.4013801413418134E-2</v>
      </c>
      <c r="AK43" s="1224">
        <v>0.13405994129737464</v>
      </c>
      <c r="AL43" s="1224">
        <v>1.8700000000131167E-2</v>
      </c>
      <c r="AM43" s="1224">
        <v>4.0816770381659762E-3</v>
      </c>
      <c r="AN43" s="1224">
        <v>1.6516009131481324E-2</v>
      </c>
      <c r="AO43" s="1224">
        <v>2.1024240888925183E-2</v>
      </c>
      <c r="AP43" s="1224">
        <v>1.9118016057180887E-2</v>
      </c>
      <c r="AQ43" s="1224">
        <v>1.0973389048332782E-2</v>
      </c>
      <c r="AR43" s="1224">
        <v>1.4956104941037163E-2</v>
      </c>
      <c r="AS43" s="1224">
        <v>7.3574865060892725E-2</v>
      </c>
    </row>
    <row r="44" spans="1:45" ht="15" x14ac:dyDescent="0.2">
      <c r="A44" s="1220">
        <v>5</v>
      </c>
      <c r="B44" s="169">
        <v>5</v>
      </c>
      <c r="C44" s="1228"/>
      <c r="D44" s="744">
        <v>0.01</v>
      </c>
      <c r="E44" s="744">
        <v>0.03</v>
      </c>
      <c r="F44" s="1225" t="s">
        <v>684</v>
      </c>
      <c r="G44" s="1226">
        <f t="shared" si="2"/>
        <v>1</v>
      </c>
      <c r="H44" s="1227" t="str">
        <f t="shared" si="3"/>
        <v>-</v>
      </c>
      <c r="J44" s="96" t="s">
        <v>87</v>
      </c>
      <c r="K44" s="1224">
        <v>2.5926623150910322E-2</v>
      </c>
      <c r="L44" s="1224">
        <v>0.11771200000000048</v>
      </c>
      <c r="M44" s="1224">
        <v>1.6878169274073596E-2</v>
      </c>
      <c r="N44" s="1224">
        <v>-4.5123623727494344E-4</v>
      </c>
      <c r="O44" s="1224">
        <v>3.8156938716878086E-2</v>
      </c>
      <c r="P44" s="1224">
        <v>3.5015069600098148E-2</v>
      </c>
      <c r="Q44" s="1224">
        <v>5.1198209587617116E-2</v>
      </c>
      <c r="R44" s="1224">
        <v>4.3088136902822427E-3</v>
      </c>
      <c r="S44" s="1224">
        <v>5.4664869003353544E-3</v>
      </c>
      <c r="T44" s="1224">
        <v>2.6067595402814447E-3</v>
      </c>
      <c r="U44" s="1224">
        <v>1.357415677881102E-2</v>
      </c>
      <c r="V44" s="1224">
        <v>1.7399710350282982E-2</v>
      </c>
      <c r="W44" s="1224">
        <v>3.0360000000111853E-2</v>
      </c>
      <c r="X44" s="1224">
        <v>5.8971543272281046E-2</v>
      </c>
      <c r="Y44" s="1224">
        <v>1.2899999999915757E-2</v>
      </c>
      <c r="Z44" s="1224">
        <v>6.3750000000080131E-2</v>
      </c>
      <c r="AA44" s="1224">
        <v>1.2394099572723416E-3</v>
      </c>
      <c r="AB44" s="1224">
        <v>2.128775237439462E-2</v>
      </c>
      <c r="AC44" s="1224">
        <v>5.2980000000203198E-2</v>
      </c>
      <c r="AD44" s="1224">
        <v>3.9997042736315436E-2</v>
      </c>
      <c r="AE44" s="1224">
        <v>1.2984170674592121E-2</v>
      </c>
      <c r="AF44" s="1224">
        <v>3.9139451110994594E-2</v>
      </c>
      <c r="AG44" s="1224">
        <v>5.1999999999954083E-2</v>
      </c>
      <c r="AH44" s="1224">
        <v>2.7000000000007907E-2</v>
      </c>
      <c r="AI44" s="1224">
        <v>2.0679999999950516E-2</v>
      </c>
      <c r="AJ44" s="1224">
        <v>2.5787997009257158E-2</v>
      </c>
      <c r="AK44" s="1224">
        <v>0.12488847409878345</v>
      </c>
      <c r="AL44" s="1224">
        <v>2.0750000000127944E-2</v>
      </c>
      <c r="AM44" s="1224">
        <v>5.5285778346600978E-3</v>
      </c>
      <c r="AN44" s="1224">
        <v>1.8434418872471436E-2</v>
      </c>
      <c r="AO44" s="1224">
        <v>2.2229582691839944E-2</v>
      </c>
      <c r="AP44" s="1224">
        <v>2.2901529393384745E-2</v>
      </c>
      <c r="AQ44" s="1224">
        <v>1.2106767170970256E-2</v>
      </c>
      <c r="AR44" s="1224">
        <v>1.6967706622270429E-2</v>
      </c>
      <c r="AS44" s="1224">
        <v>7.5279386376539748E-2</v>
      </c>
    </row>
    <row r="45" spans="1:45" ht="15" x14ac:dyDescent="0.2">
      <c r="A45" s="1220">
        <v>6</v>
      </c>
      <c r="B45" s="169">
        <v>6</v>
      </c>
      <c r="C45" s="1228"/>
      <c r="D45" s="744">
        <v>0.01</v>
      </c>
      <c r="E45" s="744">
        <v>0.01</v>
      </c>
      <c r="F45" s="1225" t="s">
        <v>684</v>
      </c>
      <c r="G45" s="1226">
        <f t="shared" si="2"/>
        <v>1</v>
      </c>
      <c r="H45" s="1227" t="str">
        <f t="shared" si="3"/>
        <v>-</v>
      </c>
      <c r="J45" s="96" t="s">
        <v>87</v>
      </c>
      <c r="K45" s="1224">
        <v>2.7169619498920161E-2</v>
      </c>
      <c r="L45" s="1224">
        <v>0.11123899999999987</v>
      </c>
      <c r="M45" s="1224">
        <v>1.7979980521497518E-2</v>
      </c>
      <c r="N45" s="1224">
        <v>4.8222418860555116E-4</v>
      </c>
      <c r="O45" s="1224">
        <v>3.9908885802728111E-2</v>
      </c>
      <c r="P45" s="1224">
        <v>3.5341586038182937E-2</v>
      </c>
      <c r="Q45" s="1224">
        <v>5.346309102037905E-2</v>
      </c>
      <c r="R45" s="1224">
        <v>4.9665978678887779E-3</v>
      </c>
      <c r="S45" s="1224">
        <v>6.3805356441415384E-3</v>
      </c>
      <c r="T45" s="1224">
        <v>3.434503002408551E-3</v>
      </c>
      <c r="U45" s="1224">
        <v>1.4704496364744468E-2</v>
      </c>
      <c r="V45" s="1224">
        <v>1.8772144369281873E-2</v>
      </c>
      <c r="W45" s="1224">
        <v>3.1840000000110891E-2</v>
      </c>
      <c r="X45" s="1224">
        <v>6.3638486739103328E-2</v>
      </c>
      <c r="Y45" s="1224">
        <v>1.534999999991693E-2</v>
      </c>
      <c r="Z45" s="1224">
        <v>5.8370154585167144E-2</v>
      </c>
      <c r="AA45" s="1224">
        <v>1.7674196134473963E-3</v>
      </c>
      <c r="AB45" s="1224">
        <v>2.1844786203705002E-2</v>
      </c>
      <c r="AC45" s="1224">
        <v>5.5240000000204681E-2</v>
      </c>
      <c r="AD45" s="1224">
        <v>4.0436014781109808E-2</v>
      </c>
      <c r="AE45" s="1224">
        <v>1.4156575759598944E-2</v>
      </c>
      <c r="AF45" s="1224">
        <v>3.9548038257053442E-2</v>
      </c>
      <c r="AG45" s="1224">
        <v>4.7896386857588791E-2</v>
      </c>
      <c r="AH45" s="1224">
        <v>2.6176349681049427E-2</v>
      </c>
      <c r="AI45" s="1224">
        <v>2.1529999999951199E-2</v>
      </c>
      <c r="AJ45" s="1224">
        <v>2.7373195949161655E-2</v>
      </c>
      <c r="AK45" s="1224">
        <v>0.11671343605305906</v>
      </c>
      <c r="AL45" s="1224">
        <v>2.2800000000125831E-2</v>
      </c>
      <c r="AM45" s="1224">
        <v>7.0058768284904094E-3</v>
      </c>
      <c r="AN45" s="1224">
        <v>2.0073750170981342E-2</v>
      </c>
      <c r="AO45" s="1224">
        <v>2.3521037518229981E-2</v>
      </c>
      <c r="AP45" s="1224">
        <v>2.564264877879241E-2</v>
      </c>
      <c r="AQ45" s="1224">
        <v>1.3019573042895249E-2</v>
      </c>
      <c r="AR45" s="1224">
        <v>1.8574444587740713E-2</v>
      </c>
      <c r="AS45" s="1224">
        <v>7.6859308370203605E-2</v>
      </c>
    </row>
    <row r="46" spans="1:45" ht="15" x14ac:dyDescent="0.2">
      <c r="A46" s="1220">
        <v>7</v>
      </c>
      <c r="B46" s="169">
        <v>7</v>
      </c>
      <c r="C46" s="1228"/>
      <c r="D46" s="1228"/>
      <c r="E46" s="744">
        <v>0.01</v>
      </c>
      <c r="F46" s="1225" t="s">
        <v>684</v>
      </c>
      <c r="G46" s="1226">
        <f t="shared" si="2"/>
        <v>1</v>
      </c>
      <c r="H46" s="1227" t="str">
        <f t="shared" si="3"/>
        <v>-</v>
      </c>
      <c r="J46" s="96" t="s">
        <v>87</v>
      </c>
      <c r="K46" s="1224">
        <v>2.8437208853455687E-2</v>
      </c>
      <c r="L46" s="1224">
        <v>0.11296399999999851</v>
      </c>
      <c r="M46" s="1224">
        <v>1.9193658380108891E-2</v>
      </c>
      <c r="N46" s="1224">
        <v>1.4195899917388566E-3</v>
      </c>
      <c r="O46" s="1224">
        <v>4.2415411421035554E-2</v>
      </c>
      <c r="P46" s="1224">
        <v>3.6219496274729535E-2</v>
      </c>
      <c r="Q46" s="1224">
        <v>5.5719475389569562E-2</v>
      </c>
      <c r="R46" s="1224">
        <v>5.6272114005608831E-3</v>
      </c>
      <c r="S46" s="1224">
        <v>7.4028955809901653E-3</v>
      </c>
      <c r="T46" s="1224">
        <v>4.3067996562848876E-3</v>
      </c>
      <c r="U46" s="1224">
        <v>1.5628473647208763E-2</v>
      </c>
      <c r="V46" s="1224">
        <v>1.9849560099840513E-2</v>
      </c>
      <c r="W46" s="1224">
        <v>3.288000000010749E-2</v>
      </c>
      <c r="X46" s="1224">
        <v>6.6824205071073672E-2</v>
      </c>
      <c r="Y46" s="1224">
        <v>1.749999999991747E-2</v>
      </c>
      <c r="Z46" s="1224">
        <v>5.4697237396379661E-2</v>
      </c>
      <c r="AA46" s="1224">
        <v>2.3729598879629332E-3</v>
      </c>
      <c r="AB46" s="1224">
        <v>2.2352920591796055E-2</v>
      </c>
      <c r="AC46" s="1224">
        <v>5.739000000020722E-2</v>
      </c>
      <c r="AD46" s="1224">
        <v>4.0884368297747775E-2</v>
      </c>
      <c r="AE46" s="1224">
        <v>1.5302872579398663E-2</v>
      </c>
      <c r="AF46" s="1224">
        <v>3.9993363986964514E-2</v>
      </c>
      <c r="AG46" s="1224">
        <v>4.5088947097883914E-2</v>
      </c>
      <c r="AH46" s="1224">
        <v>2.5659803477283916E-2</v>
      </c>
      <c r="AI46" s="1224">
        <v>2.2229999999952899E-2</v>
      </c>
      <c r="AJ46" s="1224">
        <v>2.8874941694780665E-2</v>
      </c>
      <c r="AK46" s="1224">
        <v>0.11382362964630821</v>
      </c>
      <c r="AL46" s="1224">
        <v>2.420000000012279E-2</v>
      </c>
      <c r="AM46" s="1224">
        <v>8.4127055274796358E-3</v>
      </c>
      <c r="AN46" s="1224">
        <v>2.1251967216413981E-2</v>
      </c>
      <c r="AO46" s="1224">
        <v>2.4576310985122252E-2</v>
      </c>
      <c r="AP46" s="1224">
        <v>2.8509957427498511E-2</v>
      </c>
      <c r="AQ46" s="1224">
        <v>1.3716925034710004E-2</v>
      </c>
      <c r="AR46" s="1224">
        <v>1.9799335980245747E-2</v>
      </c>
      <c r="AS46" s="1224">
        <v>7.8343907883060115E-2</v>
      </c>
    </row>
    <row r="47" spans="1:45" ht="15" x14ac:dyDescent="0.2">
      <c r="A47" s="1220">
        <v>8</v>
      </c>
      <c r="B47" s="169">
        <v>8</v>
      </c>
      <c r="C47" s="1228"/>
      <c r="D47" s="1228"/>
      <c r="E47" s="744">
        <v>0.01</v>
      </c>
      <c r="F47" s="1225" t="s">
        <v>684</v>
      </c>
      <c r="G47" s="1226">
        <f t="shared" si="2"/>
        <v>1</v>
      </c>
      <c r="H47" s="1227" t="str">
        <f t="shared" si="3"/>
        <v>-</v>
      </c>
      <c r="J47" s="96" t="s">
        <v>87</v>
      </c>
      <c r="K47" s="1224">
        <v>2.9442519878018603E-2</v>
      </c>
      <c r="L47" s="1224">
        <v>0.11465999999999732</v>
      </c>
      <c r="M47" s="1224">
        <v>2.0193799601961882E-2</v>
      </c>
      <c r="N47" s="1224">
        <v>2.463509391819052E-3</v>
      </c>
      <c r="O47" s="1224">
        <v>4.4260659156140747E-2</v>
      </c>
      <c r="P47" s="1224">
        <v>3.488712991374876E-2</v>
      </c>
      <c r="Q47" s="1224">
        <v>5.8052532323947137E-2</v>
      </c>
      <c r="R47" s="1224">
        <v>6.29114177466783E-3</v>
      </c>
      <c r="S47" s="1224">
        <v>8.4328256840195959E-3</v>
      </c>
      <c r="T47" s="1224">
        <v>5.2867795273685569E-3</v>
      </c>
      <c r="U47" s="1224">
        <v>1.6433360009977527E-2</v>
      </c>
      <c r="V47" s="1224">
        <v>2.0681061999039851E-2</v>
      </c>
      <c r="W47" s="1224">
        <v>3.3940000000105996E-2</v>
      </c>
      <c r="X47" s="1224">
        <v>6.9088333570417992E-2</v>
      </c>
      <c r="Y47" s="1224">
        <v>1.9398999999917343E-2</v>
      </c>
      <c r="Z47" s="1224">
        <v>5.0262808413220617E-2</v>
      </c>
      <c r="AA47" s="1224">
        <v>2.9173904989312494E-3</v>
      </c>
      <c r="AB47" s="1224">
        <v>2.2894418005790618E-2</v>
      </c>
      <c r="AC47" s="1224">
        <v>5.864000000021008E-2</v>
      </c>
      <c r="AD47" s="1224">
        <v>4.1461938879560511E-2</v>
      </c>
      <c r="AE47" s="1224">
        <v>1.6429224168869272E-2</v>
      </c>
      <c r="AF47" s="1224">
        <v>4.0210519730787153E-2</v>
      </c>
      <c r="AG47" s="1224">
        <v>4.1925084002539803E-2</v>
      </c>
      <c r="AH47" s="1224">
        <v>2.4229673568505916E-2</v>
      </c>
      <c r="AI47" s="1224">
        <v>2.2809999999954256E-2</v>
      </c>
      <c r="AJ47" s="1224">
        <v>3.006545271363259E-2</v>
      </c>
      <c r="AK47" s="1224">
        <v>0.11483706289639573</v>
      </c>
      <c r="AL47" s="1224">
        <v>2.3734207493922188E-2</v>
      </c>
      <c r="AM47" s="1224">
        <v>9.6861303241215779E-3</v>
      </c>
      <c r="AN47" s="1224">
        <v>2.2277064426161619E-2</v>
      </c>
      <c r="AO47" s="1224">
        <v>2.5646384325221927E-2</v>
      </c>
      <c r="AP47" s="1224">
        <v>3.0758753969407415E-2</v>
      </c>
      <c r="AQ47" s="1224">
        <v>1.4460293056634432E-2</v>
      </c>
      <c r="AR47" s="1224">
        <v>2.0861998585256503E-2</v>
      </c>
      <c r="AS47" s="1224">
        <v>7.9781508179581406E-2</v>
      </c>
    </row>
    <row r="48" spans="1:45" ht="15" x14ac:dyDescent="0.2">
      <c r="A48" s="1220">
        <v>9</v>
      </c>
      <c r="B48" s="169">
        <v>9</v>
      </c>
      <c r="C48" s="1228"/>
      <c r="D48" s="1228"/>
      <c r="E48" s="744">
        <v>0.01</v>
      </c>
      <c r="F48" s="1225" t="s">
        <v>684</v>
      </c>
      <c r="G48" s="1226">
        <f t="shared" si="2"/>
        <v>1</v>
      </c>
      <c r="H48" s="1227" t="str">
        <f t="shared" si="3"/>
        <v>-</v>
      </c>
      <c r="J48" s="96" t="s">
        <v>87</v>
      </c>
      <c r="K48" s="1224">
        <v>3.0189631004135853E-2</v>
      </c>
      <c r="L48" s="1224">
        <v>0.11506099999999675</v>
      </c>
      <c r="M48" s="1224">
        <v>2.1226742557499234E-2</v>
      </c>
      <c r="N48" s="1224">
        <v>3.3091896058541348E-3</v>
      </c>
      <c r="O48" s="1224">
        <v>4.5783555872028092E-2</v>
      </c>
      <c r="P48" s="1224">
        <v>3.6255341829645849E-2</v>
      </c>
      <c r="Q48" s="1224">
        <v>6.0526846783310218E-2</v>
      </c>
      <c r="R48" s="1224">
        <v>6.9900076117948018E-3</v>
      </c>
      <c r="S48" s="1224">
        <v>9.497886509795217E-3</v>
      </c>
      <c r="T48" s="1224">
        <v>6.2842514852015086E-3</v>
      </c>
      <c r="U48" s="1224">
        <v>1.7105520156109444E-2</v>
      </c>
      <c r="V48" s="1224">
        <v>2.140810142337557E-2</v>
      </c>
      <c r="W48" s="1224">
        <v>3.5030000000104922E-2</v>
      </c>
      <c r="X48" s="1224">
        <v>7.0743535428886117E-2</v>
      </c>
      <c r="Y48" s="1224">
        <v>2.1099999999917518E-2</v>
      </c>
      <c r="Z48" s="1224">
        <v>4.6872033301605276E-2</v>
      </c>
      <c r="AA48" s="1224">
        <v>3.643240186195662E-3</v>
      </c>
      <c r="AB48" s="1224">
        <v>2.335776476524698E-2</v>
      </c>
      <c r="AC48" s="1224">
        <v>5.9540000000208426E-2</v>
      </c>
      <c r="AD48" s="1224">
        <v>4.180431264038087E-2</v>
      </c>
      <c r="AE48" s="1224">
        <v>1.749285606323725E-2</v>
      </c>
      <c r="AF48" s="1224">
        <v>4.0433590402190411E-2</v>
      </c>
      <c r="AG48" s="1224">
        <v>3.9517340425390346E-2</v>
      </c>
      <c r="AH48" s="1224">
        <v>2.3141895089016096E-2</v>
      </c>
      <c r="AI48" s="1224">
        <v>2.3329999999955442E-2</v>
      </c>
      <c r="AJ48" s="1224">
        <v>3.1048586620071594E-2</v>
      </c>
      <c r="AK48" s="1224">
        <v>0.11323202697762946</v>
      </c>
      <c r="AL48" s="1224">
        <v>2.3419772675634665E-2</v>
      </c>
      <c r="AM48" s="1224">
        <v>1.0834574314318335E-2</v>
      </c>
      <c r="AN48" s="1224">
        <v>2.3081931845291503E-2</v>
      </c>
      <c r="AO48" s="1224">
        <v>2.660498672045275E-2</v>
      </c>
      <c r="AP48" s="1224">
        <v>3.2592763653718659E-2</v>
      </c>
      <c r="AQ48" s="1224">
        <v>1.508253146055516E-2</v>
      </c>
      <c r="AR48" s="1224">
        <v>2.1652912598898011E-2</v>
      </c>
      <c r="AS48" s="1224">
        <v>8.1167273859744649E-2</v>
      </c>
    </row>
    <row r="49" spans="1:45" ht="15" x14ac:dyDescent="0.2">
      <c r="A49" s="1220">
        <v>10</v>
      </c>
      <c r="B49" s="169">
        <v>10</v>
      </c>
      <c r="C49" s="1228"/>
      <c r="D49" s="1228"/>
      <c r="E49" s="744">
        <v>0.01</v>
      </c>
      <c r="F49" s="1225" t="s">
        <v>684</v>
      </c>
      <c r="G49" s="1226">
        <f t="shared" si="2"/>
        <v>1</v>
      </c>
      <c r="H49" s="1227" t="str">
        <f t="shared" si="3"/>
        <v>-</v>
      </c>
      <c r="J49" s="96" t="s">
        <v>87</v>
      </c>
      <c r="K49" s="1224">
        <v>3.1218001057750078E-2</v>
      </c>
      <c r="L49" s="1224">
        <v>0.11542599999999559</v>
      </c>
      <c r="M49" s="1224">
        <v>2.2218334069750156E-2</v>
      </c>
      <c r="N49" s="1224">
        <v>4.1601304940011019E-3</v>
      </c>
      <c r="O49" s="1224">
        <v>4.6964109385930097E-2</v>
      </c>
      <c r="P49" s="1224">
        <v>3.7216523740874807E-2</v>
      </c>
      <c r="Q49" s="1224">
        <v>6.3201993358377617E-2</v>
      </c>
      <c r="R49" s="1224">
        <v>7.6830849409394997E-3</v>
      </c>
      <c r="S49" s="1224">
        <v>1.049356886790842E-2</v>
      </c>
      <c r="T49" s="1224">
        <v>7.2271640425578543E-3</v>
      </c>
      <c r="U49" s="1224">
        <v>1.7730558491965587E-2</v>
      </c>
      <c r="V49" s="1224">
        <v>2.2065987472156712E-2</v>
      </c>
      <c r="W49" s="1224">
        <v>3.6140000000103978E-2</v>
      </c>
      <c r="X49" s="1224">
        <v>7.1978028930396176E-2</v>
      </c>
      <c r="Y49" s="1224">
        <v>2.2799999999917553E-2</v>
      </c>
      <c r="Z49" s="1224">
        <v>4.4209647031985488E-2</v>
      </c>
      <c r="AA49" s="1224">
        <v>4.3091029623054666E-3</v>
      </c>
      <c r="AB49" s="1224">
        <v>2.379834609907383E-2</v>
      </c>
      <c r="AC49" s="1224">
        <v>5.9920000000208029E-2</v>
      </c>
      <c r="AD49" s="1224">
        <v>4.2155092086266333E-2</v>
      </c>
      <c r="AE49" s="1224">
        <v>1.8459686195849923E-2</v>
      </c>
      <c r="AF49" s="1224">
        <v>4.0662108112615947E-2</v>
      </c>
      <c r="AG49" s="1224">
        <v>3.7638574313754836E-2</v>
      </c>
      <c r="AH49" s="1224">
        <v>2.2293944077055983E-2</v>
      </c>
      <c r="AI49" s="1224">
        <v>2.408999999995598E-2</v>
      </c>
      <c r="AJ49" s="1224">
        <v>3.1463046430688424E-2</v>
      </c>
      <c r="AK49" s="1224">
        <v>0.10863471609231445</v>
      </c>
      <c r="AL49" s="1224">
        <v>2.321303135920938E-2</v>
      </c>
      <c r="AM49" s="1224">
        <v>1.1887943216986718E-2</v>
      </c>
      <c r="AN49" s="1224">
        <v>2.3728560780996721E-2</v>
      </c>
      <c r="AO49" s="1224">
        <v>2.7493504562188464E-2</v>
      </c>
      <c r="AP49" s="1224">
        <v>3.4549744399889892E-2</v>
      </c>
      <c r="AQ49" s="1224">
        <v>1.5621531241890807E-2</v>
      </c>
      <c r="AR49" s="1224">
        <v>2.238078909054253E-2</v>
      </c>
      <c r="AS49" s="1224">
        <v>8.2511839995176084E-2</v>
      </c>
    </row>
    <row r="50" spans="1:45" ht="15" x14ac:dyDescent="0.2">
      <c r="A50" s="1220">
        <v>11</v>
      </c>
      <c r="B50" s="169">
        <v>11</v>
      </c>
      <c r="C50" s="1228"/>
      <c r="D50" s="1228"/>
      <c r="E50" s="1228"/>
      <c r="F50" s="1225" t="s">
        <v>684</v>
      </c>
      <c r="G50" s="1226">
        <f t="shared" si="2"/>
        <v>1</v>
      </c>
      <c r="H50" s="1227" t="str">
        <f t="shared" si="3"/>
        <v>-</v>
      </c>
      <c r="J50" s="96" t="s">
        <v>87</v>
      </c>
      <c r="K50" s="1224">
        <v>3.1868091925064457E-2</v>
      </c>
      <c r="L50" s="1224">
        <v>0.11549135768038021</v>
      </c>
      <c r="M50" s="1224">
        <v>2.3176294266531894E-2</v>
      </c>
      <c r="N50" s="1224">
        <v>4.9076599287471989E-3</v>
      </c>
      <c r="O50" s="1224">
        <v>4.7837682402295245E-2</v>
      </c>
      <c r="P50" s="1224">
        <v>3.8006294680221542E-2</v>
      </c>
      <c r="Q50" s="1224">
        <v>6.5272742018132046E-2</v>
      </c>
      <c r="R50" s="1224">
        <v>8.4128832912175877E-3</v>
      </c>
      <c r="S50" s="1224">
        <v>1.1399449252303961E-2</v>
      </c>
      <c r="T50" s="1224">
        <v>8.1732957776083914E-3</v>
      </c>
      <c r="U50" s="1224">
        <v>1.8324217506048956E-2</v>
      </c>
      <c r="V50" s="1224">
        <v>2.2626915212651699E-2</v>
      </c>
      <c r="W50" s="1224">
        <v>3.3992678889207761E-2</v>
      </c>
      <c r="X50" s="1224">
        <v>7.2911751519521228E-2</v>
      </c>
      <c r="Y50" s="1224">
        <v>2.3069292074263004E-2</v>
      </c>
      <c r="Z50" s="1224">
        <v>4.2513504849055028E-2</v>
      </c>
      <c r="AA50" s="1224">
        <v>4.9922483542030882E-3</v>
      </c>
      <c r="AB50" s="1224">
        <v>2.4099543606177054E-2</v>
      </c>
      <c r="AC50" s="1224">
        <v>5.6539939208467782E-2</v>
      </c>
      <c r="AD50" s="1224">
        <v>4.26917724260234E-2</v>
      </c>
      <c r="AE50" s="1224">
        <v>1.9359862637875702E-2</v>
      </c>
      <c r="AF50" s="1224">
        <v>4.0976657831348851E-2</v>
      </c>
      <c r="AG50" s="1224">
        <v>3.6302783615719703E-2</v>
      </c>
      <c r="AH50" s="1224">
        <v>2.2229234823675448E-2</v>
      </c>
      <c r="AI50" s="1224">
        <v>2.2781149967330494E-2</v>
      </c>
      <c r="AJ50" s="1224">
        <v>3.1710391219955003E-2</v>
      </c>
      <c r="AK50" s="1224">
        <v>0.10429647234013273</v>
      </c>
      <c r="AL50" s="1224">
        <v>2.2418404679026338E-2</v>
      </c>
      <c r="AM50" s="1224">
        <v>1.2870984712499256E-2</v>
      </c>
      <c r="AN50" s="1224">
        <v>2.4413903155449335E-2</v>
      </c>
      <c r="AO50" s="1224">
        <v>2.9094047802511902E-2</v>
      </c>
      <c r="AP50" s="1224">
        <v>3.5452960507124098E-2</v>
      </c>
      <c r="AQ50" s="1224">
        <v>1.6551273728750093E-2</v>
      </c>
      <c r="AR50" s="1224">
        <v>2.3075951417253382E-2</v>
      </c>
      <c r="AS50" s="1224">
        <v>8.3560401287589237E-2</v>
      </c>
    </row>
    <row r="51" spans="1:45" ht="15" x14ac:dyDescent="0.2">
      <c r="A51" s="1220">
        <v>12</v>
      </c>
      <c r="B51" s="169">
        <v>12</v>
      </c>
      <c r="C51" s="1228"/>
      <c r="D51" s="1228"/>
      <c r="E51" s="1228"/>
      <c r="F51" s="1225" t="s">
        <v>684</v>
      </c>
      <c r="G51" s="1226">
        <f t="shared" si="2"/>
        <v>1</v>
      </c>
      <c r="H51" s="1227" t="str">
        <f t="shared" si="3"/>
        <v>-</v>
      </c>
      <c r="J51" s="96" t="s">
        <v>87</v>
      </c>
      <c r="K51" s="1224">
        <v>3.2537055660677661E-2</v>
      </c>
      <c r="L51" s="1224">
        <v>0.11522571618830302</v>
      </c>
      <c r="M51" s="1224">
        <v>2.4067166832086428E-2</v>
      </c>
      <c r="N51" s="1224">
        <v>5.544875841129393E-3</v>
      </c>
      <c r="O51" s="1224">
        <v>4.8485869810577009E-2</v>
      </c>
      <c r="P51" s="1224">
        <v>3.8869409745059924E-2</v>
      </c>
      <c r="Q51" s="1224">
        <v>6.6703580898954229E-2</v>
      </c>
      <c r="R51" s="1224">
        <v>9.0422869993598276E-3</v>
      </c>
      <c r="S51" s="1224">
        <v>1.2190434990045018E-2</v>
      </c>
      <c r="T51" s="1224">
        <v>8.9517313378111307E-3</v>
      </c>
      <c r="U51" s="1224">
        <v>1.8891457958394753E-2</v>
      </c>
      <c r="V51" s="1224">
        <v>2.3162675896289731E-2</v>
      </c>
      <c r="W51" s="1224">
        <v>3.2220656754557542E-2</v>
      </c>
      <c r="X51" s="1224">
        <v>7.3624624753278578E-2</v>
      </c>
      <c r="Y51" s="1224">
        <v>2.3350389769570601E-2</v>
      </c>
      <c r="Z51" s="1224">
        <v>4.1591188392229084E-2</v>
      </c>
      <c r="AA51" s="1224">
        <v>5.6803660861153293E-3</v>
      </c>
      <c r="AB51" s="1224">
        <v>2.4434753730466108E-2</v>
      </c>
      <c r="AC51" s="1224">
        <v>5.3779251681182139E-2</v>
      </c>
      <c r="AD51" s="1224">
        <v>4.3340368126570716E-2</v>
      </c>
      <c r="AE51" s="1224">
        <v>2.0204515181924121E-2</v>
      </c>
      <c r="AF51" s="1224">
        <v>4.1407994328646502E-2</v>
      </c>
      <c r="AG51" s="1224">
        <v>3.5405463885641364E-2</v>
      </c>
      <c r="AH51" s="1224">
        <v>2.2798568880611603E-2</v>
      </c>
      <c r="AI51" s="1224">
        <v>2.169987070955548E-2</v>
      </c>
      <c r="AJ51" s="1224">
        <v>3.1919341414156976E-2</v>
      </c>
      <c r="AK51" s="1224">
        <v>0.10073358978354152</v>
      </c>
      <c r="AL51" s="1224">
        <v>2.1774606089221882E-2</v>
      </c>
      <c r="AM51" s="1224">
        <v>1.3791559779992246E-2</v>
      </c>
      <c r="AN51" s="1224">
        <v>2.506905782151625E-2</v>
      </c>
      <c r="AO51" s="1224">
        <v>3.0605656616218724E-2</v>
      </c>
      <c r="AP51" s="1224">
        <v>3.6377642607571481E-2</v>
      </c>
      <c r="AQ51" s="1224">
        <v>1.7801615621771072E-2</v>
      </c>
      <c r="AR51" s="1224">
        <v>2.3574148702461883E-2</v>
      </c>
      <c r="AS51" s="1224">
        <v>8.5239080508031195E-2</v>
      </c>
    </row>
    <row r="52" spans="1:45" ht="15" x14ac:dyDescent="0.2">
      <c r="A52" s="1220">
        <v>13</v>
      </c>
      <c r="B52" s="169">
        <v>13</v>
      </c>
      <c r="C52" s="1228"/>
      <c r="D52" s="1228"/>
      <c r="E52" s="1228"/>
      <c r="F52" s="1225" t="s">
        <v>684</v>
      </c>
      <c r="G52" s="1226">
        <f t="shared" si="2"/>
        <v>1</v>
      </c>
      <c r="H52" s="1227" t="str">
        <f t="shared" si="3"/>
        <v>-</v>
      </c>
      <c r="J52" s="96" t="s">
        <v>87</v>
      </c>
      <c r="K52" s="1224">
        <v>3.3132512910999612E-2</v>
      </c>
      <c r="L52" s="1224">
        <v>0.11472158817957734</v>
      </c>
      <c r="M52" s="1224">
        <v>2.4761757741327717E-2</v>
      </c>
      <c r="N52" s="1224">
        <v>6.2215805153118531E-3</v>
      </c>
      <c r="O52" s="1224">
        <v>4.8965959280753424E-2</v>
      </c>
      <c r="P52" s="1224">
        <v>3.9764550819287647E-2</v>
      </c>
      <c r="Q52" s="1224">
        <v>6.7655818182087879E-2</v>
      </c>
      <c r="R52" s="1224">
        <v>9.7743596744561678E-3</v>
      </c>
      <c r="S52" s="1224">
        <v>1.2839576403844699E-2</v>
      </c>
      <c r="T52" s="1224">
        <v>9.6584185009718215E-3</v>
      </c>
      <c r="U52" s="1224">
        <v>1.9429331395040439E-2</v>
      </c>
      <c r="V52" s="1224">
        <v>2.3570745272480709E-2</v>
      </c>
      <c r="W52" s="1224">
        <v>3.0736877561167386E-2</v>
      </c>
      <c r="X52" s="1224">
        <v>7.417185386557934E-2</v>
      </c>
      <c r="Y52" s="1224">
        <v>2.2964670041825563E-2</v>
      </c>
      <c r="Z52" s="1224">
        <v>4.1186798537705682E-2</v>
      </c>
      <c r="AA52" s="1224">
        <v>6.4005713218391325E-3</v>
      </c>
      <c r="AB52" s="1224">
        <v>2.4601952313222375E-2</v>
      </c>
      <c r="AC52" s="1224">
        <v>5.1495071197597442E-2</v>
      </c>
      <c r="AD52" s="1224">
        <v>4.3819823556883852E-2</v>
      </c>
      <c r="AE52" s="1224">
        <v>2.0997216703048105E-2</v>
      </c>
      <c r="AF52" s="1224">
        <v>4.1671732062628752E-2</v>
      </c>
      <c r="AG52" s="1224">
        <v>3.4818483015733426E-2</v>
      </c>
      <c r="AH52" s="1224">
        <v>2.3751433648032672E-2</v>
      </c>
      <c r="AI52" s="1224">
        <v>2.079350180886208E-2</v>
      </c>
      <c r="AJ52" s="1224">
        <v>3.2098641239858283E-2</v>
      </c>
      <c r="AK52" s="1224">
        <v>9.7760970443709239E-2</v>
      </c>
      <c r="AL52" s="1224">
        <v>2.1247192384460822E-2</v>
      </c>
      <c r="AM52" s="1224">
        <v>1.4653989068722506E-2</v>
      </c>
      <c r="AN52" s="1224">
        <v>2.5528390171116522E-2</v>
      </c>
      <c r="AO52" s="1224">
        <v>3.1821358927949239E-2</v>
      </c>
      <c r="AP52" s="1224">
        <v>3.7334192657030529E-2</v>
      </c>
      <c r="AQ52" s="1224">
        <v>1.9226142685491387E-2</v>
      </c>
      <c r="AR52" s="1224">
        <v>2.4134721481959831E-2</v>
      </c>
      <c r="AS52" s="1224">
        <v>8.6578535861308481E-2</v>
      </c>
    </row>
    <row r="53" spans="1:45" ht="15" x14ac:dyDescent="0.2">
      <c r="A53" s="1220">
        <v>14</v>
      </c>
      <c r="B53" s="169">
        <v>14</v>
      </c>
      <c r="C53" s="1228"/>
      <c r="D53" s="1228"/>
      <c r="E53" s="1228"/>
      <c r="F53" s="1225" t="s">
        <v>684</v>
      </c>
      <c r="G53" s="1226">
        <f t="shared" si="2"/>
        <v>1</v>
      </c>
      <c r="H53" s="1227" t="str">
        <f t="shared" si="3"/>
        <v>-</v>
      </c>
      <c r="J53" s="96" t="s">
        <v>87</v>
      </c>
      <c r="K53" s="1224">
        <v>3.3763220708348918E-2</v>
      </c>
      <c r="L53" s="1224">
        <v>0.11404596271172518</v>
      </c>
      <c r="M53" s="1224">
        <v>2.5437949358207756E-2</v>
      </c>
      <c r="N53" s="1224">
        <v>6.7452616569445567E-3</v>
      </c>
      <c r="O53" s="1224">
        <v>4.9318673394700419E-2</v>
      </c>
      <c r="P53" s="1224">
        <v>4.0665680509607949E-2</v>
      </c>
      <c r="Q53" s="1224">
        <v>6.8245961526335774E-2</v>
      </c>
      <c r="R53" s="1224">
        <v>1.0427248439346393E-2</v>
      </c>
      <c r="S53" s="1224">
        <v>1.3427223874960204E-2</v>
      </c>
      <c r="T53" s="1224">
        <v>1.0175588290252779E-2</v>
      </c>
      <c r="U53" s="1224">
        <v>1.9871189653588583E-2</v>
      </c>
      <c r="V53" s="1224">
        <v>2.3979997896687255E-2</v>
      </c>
      <c r="W53" s="1224">
        <v>2.9479379008328754E-2</v>
      </c>
      <c r="X53" s="1224">
        <v>7.4592708819639197E-2</v>
      </c>
      <c r="Y53" s="1224">
        <v>2.2658762196545501E-2</v>
      </c>
      <c r="Z53" s="1224">
        <v>4.1133036331785444E-2</v>
      </c>
      <c r="AA53" s="1224">
        <v>7.1542440129677143E-3</v>
      </c>
      <c r="AB53" s="1224">
        <v>2.4797138161454901E-2</v>
      </c>
      <c r="AC53" s="1224">
        <v>4.9586039553126016E-2</v>
      </c>
      <c r="AD53" s="1224">
        <v>4.4414630751136386E-2</v>
      </c>
      <c r="AE53" s="1224">
        <v>2.1741551250541447E-2</v>
      </c>
      <c r="AF53" s="1224">
        <v>4.2047652891186615E-2</v>
      </c>
      <c r="AG53" s="1224">
        <v>3.4454465731529771E-2</v>
      </c>
      <c r="AH53" s="1224">
        <v>2.4931179187842156E-2</v>
      </c>
      <c r="AI53" s="1224">
        <v>2.0024510681358132E-2</v>
      </c>
      <c r="AJ53" s="1224">
        <v>3.2254543066104091E-2</v>
      </c>
      <c r="AK53" s="1224">
        <v>9.5247523848869253E-2</v>
      </c>
      <c r="AL53" s="1224">
        <v>2.0811615522903004E-2</v>
      </c>
      <c r="AM53" s="1224">
        <v>1.5462511291350678E-2</v>
      </c>
      <c r="AN53" s="1224">
        <v>2.5992982959543998E-2</v>
      </c>
      <c r="AO53" s="1224">
        <v>3.3024390301352735E-2</v>
      </c>
      <c r="AP53" s="1224">
        <v>3.8332208817729363E-2</v>
      </c>
      <c r="AQ53" s="1224">
        <v>2.0734178265526593E-2</v>
      </c>
      <c r="AR53" s="1224">
        <v>2.4568568754532949E-2</v>
      </c>
      <c r="AS53" s="1224">
        <v>8.7759237760149489E-2</v>
      </c>
    </row>
    <row r="54" spans="1:45" ht="15" x14ac:dyDescent="0.2">
      <c r="A54" s="1220">
        <v>15</v>
      </c>
      <c r="B54" s="169">
        <v>15</v>
      </c>
      <c r="C54" s="1228"/>
      <c r="D54" s="1228"/>
      <c r="E54" s="1228"/>
      <c r="F54" s="1225" t="s">
        <v>684</v>
      </c>
      <c r="G54" s="1226">
        <f t="shared" si="2"/>
        <v>1</v>
      </c>
      <c r="H54" s="1227" t="str">
        <f t="shared" si="3"/>
        <v>-</v>
      </c>
      <c r="J54" s="96" t="s">
        <v>87</v>
      </c>
      <c r="K54" s="1224">
        <v>3.4431880780961821E-2</v>
      </c>
      <c r="L54" s="1224">
        <v>0.11324843500079051</v>
      </c>
      <c r="M54" s="1224">
        <v>2.6104722486073761E-2</v>
      </c>
      <c r="N54" s="1224">
        <v>7.0915946542366992E-3</v>
      </c>
      <c r="O54" s="1224">
        <v>4.9573661320647666E-2</v>
      </c>
      <c r="P54" s="1224">
        <v>4.155633909272427E-2</v>
      </c>
      <c r="Q54" s="1224">
        <v>6.8560147810226013E-2</v>
      </c>
      <c r="R54" s="1224">
        <v>1.1017643284905176E-2</v>
      </c>
      <c r="S54" s="1224">
        <v>1.3966889152752682E-2</v>
      </c>
      <c r="T54" s="1224">
        <v>1.0777470800689803E-2</v>
      </c>
      <c r="U54" s="1224">
        <v>2.0202547233501233E-2</v>
      </c>
      <c r="V54" s="1224">
        <v>2.4393529015324766E-2</v>
      </c>
      <c r="W54" s="1224">
        <v>2.8402863410357471E-2</v>
      </c>
      <c r="X54" s="1224">
        <v>7.491581293477001E-2</v>
      </c>
      <c r="Y54" s="1224">
        <v>2.2417530437461197E-2</v>
      </c>
      <c r="Z54" s="1224">
        <v>4.1317769672283511E-2</v>
      </c>
      <c r="AA54" s="1224">
        <v>7.8885012652993858E-3</v>
      </c>
      <c r="AB54" s="1224">
        <v>2.5017417798668617E-2</v>
      </c>
      <c r="AC54" s="1224">
        <v>4.7978313940974626E-2</v>
      </c>
      <c r="AD54" s="1224">
        <v>4.5120338577557151E-2</v>
      </c>
      <c r="AE54" s="1224">
        <v>2.2440973663093944E-2</v>
      </c>
      <c r="AF54" s="1224">
        <v>4.2526901770151504E-2</v>
      </c>
      <c r="AG54" s="1224">
        <v>3.4252395184800388E-2</v>
      </c>
      <c r="AH54" s="1224">
        <v>2.6237761619567701E-2</v>
      </c>
      <c r="AI54" s="1224">
        <v>1.936542582676215E-2</v>
      </c>
      <c r="AJ54" s="1224">
        <v>3.239163716671456E-2</v>
      </c>
      <c r="AK54" s="1224">
        <v>9.3097865831902826E-2</v>
      </c>
      <c r="AL54" s="1224">
        <v>2.0449914933442059E-2</v>
      </c>
      <c r="AM54" s="1224">
        <v>1.6221154073715827E-2</v>
      </c>
      <c r="AN54" s="1224">
        <v>2.6466134820520404E-2</v>
      </c>
      <c r="AO54" s="1224">
        <v>3.423247858244638E-2</v>
      </c>
      <c r="AP54" s="1224">
        <v>3.9381183909843243E-2</v>
      </c>
      <c r="AQ54" s="1224">
        <v>2.2268861217298985E-2</v>
      </c>
      <c r="AR54" s="1224">
        <v>2.4846933855113384E-2</v>
      </c>
      <c r="AS54" s="1224">
        <v>8.8652437556542507E-2</v>
      </c>
    </row>
    <row r="55" spans="1:45" ht="15" x14ac:dyDescent="0.2">
      <c r="A55" s="1220">
        <v>16</v>
      </c>
      <c r="B55" s="169">
        <v>16</v>
      </c>
      <c r="C55" s="1228"/>
      <c r="D55" s="1228"/>
      <c r="E55" s="1228"/>
      <c r="F55" s="1225" t="s">
        <v>684</v>
      </c>
      <c r="G55" s="1226">
        <f t="shared" si="2"/>
        <v>1</v>
      </c>
      <c r="H55" s="1227" t="str">
        <f t="shared" si="3"/>
        <v>-</v>
      </c>
      <c r="J55" s="96" t="s">
        <v>87</v>
      </c>
      <c r="K55" s="1224">
        <v>3.4735822799771165E-2</v>
      </c>
      <c r="L55" s="1224">
        <v>0.11236633702838184</v>
      </c>
      <c r="M55" s="1224">
        <v>2.6307730207636659E-2</v>
      </c>
      <c r="N55" s="1224">
        <v>7.6827628215647703E-3</v>
      </c>
      <c r="O55" s="1224">
        <v>4.9752944509158903E-2</v>
      </c>
      <c r="P55" s="1224">
        <v>4.2426210486877558E-2</v>
      </c>
      <c r="Q55" s="1224">
        <v>6.8663263298243793E-2</v>
      </c>
      <c r="R55" s="1224">
        <v>1.1629199925855538E-2</v>
      </c>
      <c r="S55" s="1224">
        <v>1.4330555495462471E-2</v>
      </c>
      <c r="T55" s="1224">
        <v>1.1194787857647936E-2</v>
      </c>
      <c r="U55" s="1224">
        <v>2.0560965049815083E-2</v>
      </c>
      <c r="V55" s="1224">
        <v>2.4784505378629529E-2</v>
      </c>
      <c r="W55" s="1224">
        <v>2.7679294315942959E-2</v>
      </c>
      <c r="X55" s="1224">
        <v>7.5162459376594049E-2</v>
      </c>
      <c r="Y55" s="1224">
        <v>2.1001827328525957E-2</v>
      </c>
      <c r="Z55" s="1224">
        <v>4.1664318958699376E-2</v>
      </c>
      <c r="AA55" s="1224">
        <v>8.5756246724346674E-3</v>
      </c>
      <c r="AB55" s="1224">
        <v>2.5358679720898225E-2</v>
      </c>
      <c r="AC55" s="1224">
        <v>4.6117319277105384E-2</v>
      </c>
      <c r="AD55" s="1224">
        <v>4.5475204046071749E-2</v>
      </c>
      <c r="AE55" s="1224">
        <v>2.3098743488387807E-2</v>
      </c>
      <c r="AF55" s="1224">
        <v>4.2469690679801664E-2</v>
      </c>
      <c r="AG55" s="1224">
        <v>3.4168814005184567E-2</v>
      </c>
      <c r="AH55" s="1224">
        <v>2.7606365034996472E-2</v>
      </c>
      <c r="AI55" s="1224">
        <v>1.8990461154035243E-2</v>
      </c>
      <c r="AJ55" s="1224">
        <v>3.251337056653858E-2</v>
      </c>
      <c r="AK55" s="1224">
        <v>9.1240980447464981E-2</v>
      </c>
      <c r="AL55" s="1224">
        <v>2.0356024934691908E-2</v>
      </c>
      <c r="AM55" s="1224">
        <v>1.6933678675715935E-2</v>
      </c>
      <c r="AN55" s="1224">
        <v>2.6708249289925989E-2</v>
      </c>
      <c r="AO55" s="1224">
        <v>3.5443634928503664E-2</v>
      </c>
      <c r="AP55" s="1224">
        <v>4.0386683368450971E-2</v>
      </c>
      <c r="AQ55" s="1224">
        <v>2.3794412019079614E-2</v>
      </c>
      <c r="AR55" s="1224">
        <v>2.5086524747309991E-2</v>
      </c>
      <c r="AS55" s="1224">
        <v>8.9258499807771452E-2</v>
      </c>
    </row>
    <row r="56" spans="1:45" ht="15" x14ac:dyDescent="0.2">
      <c r="A56" s="1220">
        <v>17</v>
      </c>
      <c r="B56" s="169">
        <v>17</v>
      </c>
      <c r="C56" s="1228"/>
      <c r="D56" s="1228"/>
      <c r="E56" s="1228"/>
      <c r="F56" s="1225" t="s">
        <v>684</v>
      </c>
      <c r="G56" s="1226">
        <f t="shared" si="2"/>
        <v>1</v>
      </c>
      <c r="H56" s="1227" t="str">
        <f t="shared" si="3"/>
        <v>-</v>
      </c>
      <c r="J56" s="96" t="s">
        <v>87</v>
      </c>
      <c r="K56" s="1224">
        <v>3.5098217871414983E-2</v>
      </c>
      <c r="L56" s="1224">
        <v>0.111428101830231</v>
      </c>
      <c r="M56" s="1224">
        <v>2.6538953023771183E-2</v>
      </c>
      <c r="N56" s="1224">
        <v>8.1363008006365423E-3</v>
      </c>
      <c r="O56" s="1224">
        <v>4.9873154358069272E-2</v>
      </c>
      <c r="P56" s="1224">
        <v>4.32689898610783E-2</v>
      </c>
      <c r="Q56" s="1224">
        <v>6.8604917262088616E-2</v>
      </c>
      <c r="R56" s="1224">
        <v>1.2262523648944645E-2</v>
      </c>
      <c r="S56" s="1224">
        <v>1.4674952699234911E-2</v>
      </c>
      <c r="T56" s="1224">
        <v>1.1604929965594923E-2</v>
      </c>
      <c r="U56" s="1224">
        <v>2.0863454977301465E-2</v>
      </c>
      <c r="V56" s="1224">
        <v>2.5150663605140178E-2</v>
      </c>
      <c r="W56" s="1224">
        <v>2.7266361378053716E-2</v>
      </c>
      <c r="X56" s="1224">
        <v>7.5348763608864999E-2</v>
      </c>
      <c r="Y56" s="1224">
        <v>1.9754305521553217E-2</v>
      </c>
      <c r="Z56" s="1224">
        <v>4.2119400459553757E-2</v>
      </c>
      <c r="AA56" s="1224">
        <v>9.2145158905845292E-3</v>
      </c>
      <c r="AB56" s="1224">
        <v>2.5716007725677059E-2</v>
      </c>
      <c r="AC56" s="1224">
        <v>4.4499259586420647E-2</v>
      </c>
      <c r="AD56" s="1224">
        <v>4.5947470521954248E-2</v>
      </c>
      <c r="AE56" s="1224">
        <v>2.3717898581748331E-2</v>
      </c>
      <c r="AF56" s="1224">
        <v>4.2525486908726373E-2</v>
      </c>
      <c r="AG56" s="1224">
        <v>3.4172259575476982E-2</v>
      </c>
      <c r="AH56" s="1224">
        <v>2.8994667191307721E-2</v>
      </c>
      <c r="AI56" s="1224">
        <v>1.886902790779299E-2</v>
      </c>
      <c r="AJ56" s="1224">
        <v>3.2622382903959135E-2</v>
      </c>
      <c r="AK56" s="1224">
        <v>8.9622939387678624E-2</v>
      </c>
      <c r="AL56" s="1224">
        <v>2.0500609208964571E-2</v>
      </c>
      <c r="AM56" s="1224">
        <v>1.7603563315183646E-2</v>
      </c>
      <c r="AN56" s="1224">
        <v>2.6977585039972718E-2</v>
      </c>
      <c r="AO56" s="1224">
        <v>3.6643866228144528E-2</v>
      </c>
      <c r="AP56" s="1224">
        <v>4.1330036643486778E-2</v>
      </c>
      <c r="AQ56" s="1224">
        <v>2.5288480304483052E-2</v>
      </c>
      <c r="AR56" s="1224">
        <v>2.504966322169766E-2</v>
      </c>
      <c r="AS56" s="1224">
        <v>8.9641169201692072E-2</v>
      </c>
    </row>
    <row r="57" spans="1:45" ht="15" x14ac:dyDescent="0.2">
      <c r="A57" s="1220">
        <v>18</v>
      </c>
      <c r="B57" s="169">
        <v>18</v>
      </c>
      <c r="C57" s="1228"/>
      <c r="D57" s="1228"/>
      <c r="E57" s="1228"/>
      <c r="F57" s="1225" t="s">
        <v>684</v>
      </c>
      <c r="G57" s="1226">
        <f t="shared" si="2"/>
        <v>1</v>
      </c>
      <c r="H57" s="1227" t="str">
        <f t="shared" si="3"/>
        <v>-</v>
      </c>
      <c r="J57" s="96" t="s">
        <v>87</v>
      </c>
      <c r="K57" s="1224">
        <v>3.551682928058475E-2</v>
      </c>
      <c r="L57" s="1224">
        <v>0.11045554711528816</v>
      </c>
      <c r="M57" s="1224">
        <v>2.6796734623632412E-2</v>
      </c>
      <c r="N57" s="1224">
        <v>8.5659034196174932E-3</v>
      </c>
      <c r="O57" s="1224">
        <v>4.9947029087543005E-2</v>
      </c>
      <c r="P57" s="1224">
        <v>4.4081025146500918E-2</v>
      </c>
      <c r="Q57" s="1224">
        <v>6.8423480106444501E-2</v>
      </c>
      <c r="R57" s="1224">
        <v>1.2903132574916931E-2</v>
      </c>
      <c r="S57" s="1224">
        <v>1.5004197985860168E-2</v>
      </c>
      <c r="T57" s="1224">
        <v>1.1996372325236537E-2</v>
      </c>
      <c r="U57" s="1224">
        <v>2.1133440441150064E-2</v>
      </c>
      <c r="V57" s="1224">
        <v>2.5494416833574673E-2</v>
      </c>
      <c r="W57" s="1224">
        <v>2.7078973351871038E-2</v>
      </c>
      <c r="X57" s="1224">
        <v>7.548710230199096E-2</v>
      </c>
      <c r="Y57" s="1224">
        <v>1.8646676963882225E-2</v>
      </c>
      <c r="Z57" s="1224">
        <v>4.2645520615322896E-2</v>
      </c>
      <c r="AA57" s="1224">
        <v>9.7898309724755439E-3</v>
      </c>
      <c r="AB57" s="1224">
        <v>2.6090148098468546E-2</v>
      </c>
      <c r="AC57" s="1224">
        <v>4.3083894379881693E-2</v>
      </c>
      <c r="AD57" s="1224">
        <v>4.6534285619250326E-2</v>
      </c>
      <c r="AE57" s="1224">
        <v>2.4301250002389585E-2</v>
      </c>
      <c r="AF57" s="1224">
        <v>4.2684385915501055E-2</v>
      </c>
      <c r="AG57" s="1224">
        <v>3.4239640190137921E-2</v>
      </c>
      <c r="AH57" s="1224">
        <v>3.0375011809735231E-2</v>
      </c>
      <c r="AI57" s="1224">
        <v>1.8928611110675897E-2</v>
      </c>
      <c r="AJ57" s="1224">
        <v>3.2720730421609501E-2</v>
      </c>
      <c r="AK57" s="1224">
        <v>8.8202080839687502E-2</v>
      </c>
      <c r="AL57" s="1224">
        <v>2.0810463881417496E-2</v>
      </c>
      <c r="AM57" s="1224">
        <v>1.8234006554810112E-2</v>
      </c>
      <c r="AN57" s="1224">
        <v>2.727297917395699E-2</v>
      </c>
      <c r="AO57" s="1224">
        <v>3.7818652905821315E-2</v>
      </c>
      <c r="AP57" s="1224">
        <v>4.2215923663630583E-2</v>
      </c>
      <c r="AQ57" s="1224">
        <v>2.6737413406478394E-2</v>
      </c>
      <c r="AR57" s="1224">
        <v>2.564329362540918E-2</v>
      </c>
      <c r="AS57" s="1224">
        <v>8.9849175354034472E-2</v>
      </c>
    </row>
    <row r="58" spans="1:45" ht="15" x14ac:dyDescent="0.2">
      <c r="A58" s="1220">
        <v>19</v>
      </c>
      <c r="B58" s="169">
        <v>19</v>
      </c>
      <c r="C58" s="1228"/>
      <c r="D58" s="1228"/>
      <c r="E58" s="1228"/>
      <c r="F58" s="1225" t="s">
        <v>684</v>
      </c>
      <c r="G58" s="1226">
        <f t="shared" si="2"/>
        <v>1</v>
      </c>
      <c r="H58" s="1227" t="str">
        <f t="shared" si="3"/>
        <v>-</v>
      </c>
      <c r="J58" s="96" t="s">
        <v>87</v>
      </c>
      <c r="K58" s="1224">
        <v>3.599083188943708E-2</v>
      </c>
      <c r="L58" s="1224">
        <v>0.10946547465591849</v>
      </c>
      <c r="M58" s="1224">
        <v>2.7080044225322952E-2</v>
      </c>
      <c r="N58" s="1224">
        <v>8.9712056907307325E-3</v>
      </c>
      <c r="O58" s="1224">
        <v>4.9984441213055897E-2</v>
      </c>
      <c r="P58" s="1224">
        <v>4.4860432882442014E-2</v>
      </c>
      <c r="Q58" s="1224">
        <v>6.8148891078163354E-2</v>
      </c>
      <c r="R58" s="1224">
        <v>1.3541033883459841E-2</v>
      </c>
      <c r="S58" s="1224">
        <v>1.5321597024941846E-2</v>
      </c>
      <c r="T58" s="1224">
        <v>1.2299267182903861E-2</v>
      </c>
      <c r="U58" s="1224">
        <v>2.1357354469719647E-2</v>
      </c>
      <c r="V58" s="1224">
        <v>2.5817820682763948E-2</v>
      </c>
      <c r="W58" s="1224">
        <v>2.7055903397565917E-2</v>
      </c>
      <c r="X58" s="1224">
        <v>7.5587100301843124E-2</v>
      </c>
      <c r="Y58" s="1224">
        <v>1.7656660705959615E-2</v>
      </c>
      <c r="Z58" s="1224">
        <v>4.3216048532526141E-2</v>
      </c>
      <c r="AA58" s="1224">
        <v>1.0328587821053725E-2</v>
      </c>
      <c r="AB58" s="1224">
        <v>2.6482013523370762E-2</v>
      </c>
      <c r="AC58" s="1224">
        <v>4.183959905639556E-2</v>
      </c>
      <c r="AD58" s="1224">
        <v>4.7236205026698341E-2</v>
      </c>
      <c r="AE58" s="1224">
        <v>2.4851388173123823E-2</v>
      </c>
      <c r="AF58" s="1224">
        <v>4.2939777112707356E-2</v>
      </c>
      <c r="AG58" s="1224">
        <v>3.4353814797448923E-2</v>
      </c>
      <c r="AH58" s="1224">
        <v>3.1729466968578812E-2</v>
      </c>
      <c r="AI58" s="1224">
        <v>1.9117226350620742E-2</v>
      </c>
      <c r="AJ58" s="1224">
        <v>3.2810039274496328E-2</v>
      </c>
      <c r="AK58" s="1224">
        <v>8.6945730618548822E-2</v>
      </c>
      <c r="AL58" s="1224">
        <v>2.123374439799397E-2</v>
      </c>
      <c r="AM58" s="1224">
        <v>1.8827940761796613E-2</v>
      </c>
      <c r="AN58" s="1224">
        <v>2.7593831218652332E-2</v>
      </c>
      <c r="AO58" s="1224">
        <v>3.895889363859939E-2</v>
      </c>
      <c r="AP58" s="1224">
        <v>4.3048676959622334E-2</v>
      </c>
      <c r="AQ58" s="1224">
        <v>2.8133260149819206E-2</v>
      </c>
      <c r="AR58" s="1224">
        <v>2.5863549013830367E-2</v>
      </c>
      <c r="AS58" s="1224">
        <v>8.9920682726162049E-2</v>
      </c>
    </row>
    <row r="59" spans="1:45" ht="15" x14ac:dyDescent="0.2">
      <c r="A59" s="1220">
        <v>20</v>
      </c>
      <c r="B59" s="169">
        <v>20</v>
      </c>
      <c r="C59" s="1228"/>
      <c r="D59" s="1228"/>
      <c r="E59" s="1228"/>
      <c r="F59" s="1225" t="s">
        <v>684</v>
      </c>
      <c r="G59" s="1226">
        <f t="shared" si="2"/>
        <v>1</v>
      </c>
      <c r="H59" s="1227" t="str">
        <f t="shared" si="3"/>
        <v>-</v>
      </c>
      <c r="J59" s="96" t="s">
        <v>87</v>
      </c>
      <c r="K59" s="1224">
        <v>3.6520622721824436E-2</v>
      </c>
      <c r="L59" s="1224">
        <v>0.10847082251041873</v>
      </c>
      <c r="M59" s="1224">
        <v>2.7388354656331604E-2</v>
      </c>
      <c r="N59" s="1224">
        <v>9.2328683746187856E-3</v>
      </c>
      <c r="O59" s="1224">
        <v>4.9993118929640534E-2</v>
      </c>
      <c r="P59" s="1224">
        <v>4.5606512456223713E-2</v>
      </c>
      <c r="Q59" s="1224">
        <v>6.7804660236902681E-2</v>
      </c>
      <c r="R59" s="1224">
        <v>1.4169373932838791E-2</v>
      </c>
      <c r="S59" s="1224">
        <v>1.562985097582037E-2</v>
      </c>
      <c r="T59" s="1224">
        <v>1.2652274308434963E-2</v>
      </c>
      <c r="U59" s="1224">
        <v>2.1514767402697421E-2</v>
      </c>
      <c r="V59" s="1224">
        <v>2.6122647975980184E-2</v>
      </c>
      <c r="W59" s="1224">
        <v>2.7152520417791814E-2</v>
      </c>
      <c r="X59" s="1224">
        <v>7.5656323047835095E-2</v>
      </c>
      <c r="Y59" s="1224">
        <v>1.6766468773396381E-2</v>
      </c>
      <c r="Z59" s="1224">
        <v>4.3811948990724492E-2</v>
      </c>
      <c r="AA59" s="1224">
        <v>1.080084089840283E-2</v>
      </c>
      <c r="AB59" s="1224">
        <v>2.6892683693161556E-2</v>
      </c>
      <c r="AC59" s="1224">
        <v>4.0741189700526537E-2</v>
      </c>
      <c r="AD59" s="1224">
        <v>4.8057003117140118E-2</v>
      </c>
      <c r="AE59" s="1224">
        <v>2.5370694720865838E-2</v>
      </c>
      <c r="AF59" s="1224">
        <v>4.328774106120048E-2</v>
      </c>
      <c r="AG59" s="1224">
        <v>3.4501940651485929E-2</v>
      </c>
      <c r="AH59" s="1224">
        <v>3.3046633784125312E-2</v>
      </c>
      <c r="AI59" s="1224">
        <v>1.9397165480473877E-2</v>
      </c>
      <c r="AJ59" s="1224">
        <v>3.2891612879118348E-2</v>
      </c>
      <c r="AK59" s="1224">
        <v>8.5827919453869139E-2</v>
      </c>
      <c r="AL59" s="1224">
        <v>2.1733329221415687E-2</v>
      </c>
      <c r="AM59" s="1224">
        <v>1.9388050177762572E-2</v>
      </c>
      <c r="AN59" s="1224">
        <v>2.7940003624528087E-2</v>
      </c>
      <c r="AO59" s="1224">
        <v>4.0059140413748029E-2</v>
      </c>
      <c r="AP59" s="1224">
        <v>4.3832285702624318E-2</v>
      </c>
      <c r="AQ59" s="1224">
        <v>2.9471834976684708E-2</v>
      </c>
      <c r="AR59" s="1224">
        <v>2.6132097956696798E-2</v>
      </c>
      <c r="AS59" s="1224">
        <v>8.9885810481477035E-2</v>
      </c>
    </row>
    <row r="60" spans="1:45" ht="15" x14ac:dyDescent="0.2">
      <c r="A60" s="1220">
        <v>21</v>
      </c>
      <c r="B60" s="169">
        <v>21</v>
      </c>
      <c r="C60" s="1228"/>
      <c r="D60" s="1228"/>
      <c r="E60" s="1228"/>
      <c r="F60" s="1225" t="s">
        <v>684</v>
      </c>
      <c r="G60" s="1226">
        <f t="shared" si="2"/>
        <v>1</v>
      </c>
      <c r="H60" s="1227" t="str">
        <f t="shared" si="3"/>
        <v>-</v>
      </c>
      <c r="J60" s="96" t="s">
        <v>87</v>
      </c>
      <c r="K60" s="1224">
        <v>3.6652857908669345E-2</v>
      </c>
      <c r="L60" s="1224">
        <v>0.10748151613482437</v>
      </c>
      <c r="M60" s="1224">
        <v>2.7681478105897384E-2</v>
      </c>
      <c r="N60" s="1224">
        <v>9.5527656605185474E-3</v>
      </c>
      <c r="O60" s="1224">
        <v>4.9979162785113385E-2</v>
      </c>
      <c r="P60" s="1224">
        <v>4.6319352314151852E-2</v>
      </c>
      <c r="Q60" s="1224">
        <v>6.7409328274051772E-2</v>
      </c>
      <c r="R60" s="1224">
        <v>1.4783517327784823E-2</v>
      </c>
      <c r="S60" s="1224">
        <v>1.5974253288626894E-2</v>
      </c>
      <c r="T60" s="1224">
        <v>1.3065913935643492E-2</v>
      </c>
      <c r="U60" s="1224">
        <v>2.15424254983696E-2</v>
      </c>
      <c r="V60" s="1224">
        <v>2.6410443764594893E-2</v>
      </c>
      <c r="W60" s="1224">
        <v>2.7335938200424792E-2</v>
      </c>
      <c r="X60" s="1224">
        <v>7.5700772114877468E-2</v>
      </c>
      <c r="Y60" s="1224">
        <v>1.6168826505513767E-2</v>
      </c>
      <c r="Z60" s="1224">
        <v>4.4419572275244512E-2</v>
      </c>
      <c r="AA60" s="1224">
        <v>1.1118196944383207E-2</v>
      </c>
      <c r="AB60" s="1224">
        <v>2.6800999969832207E-2</v>
      </c>
      <c r="AC60" s="1224">
        <v>3.9886922378961742E-2</v>
      </c>
      <c r="AD60" s="1224">
        <v>4.8869404428754981E-2</v>
      </c>
      <c r="AE60" s="1224">
        <v>2.5861356861207385E-2</v>
      </c>
      <c r="AF60" s="1224">
        <v>4.3564677890642223E-2</v>
      </c>
      <c r="AG60" s="1224">
        <v>3.467432326135711E-2</v>
      </c>
      <c r="AH60" s="1224">
        <v>3.4319545027199139E-2</v>
      </c>
      <c r="AI60" s="1224">
        <v>1.9740815706446924E-2</v>
      </c>
      <c r="AJ60" s="1224">
        <v>3.2966508614084455E-2</v>
      </c>
      <c r="AK60" s="1224">
        <v>8.482776062497166E-2</v>
      </c>
      <c r="AL60" s="1224">
        <v>2.2282417939291532E-2</v>
      </c>
      <c r="AM60" s="1224">
        <v>1.991679060251017E-2</v>
      </c>
      <c r="AN60" s="1224">
        <v>2.8264914145857967E-2</v>
      </c>
      <c r="AO60" s="1224">
        <v>4.1116423592131301E-2</v>
      </c>
      <c r="AP60" s="1224">
        <v>4.4570411287073952E-2</v>
      </c>
      <c r="AQ60" s="1224">
        <v>3.0751445976803682E-2</v>
      </c>
      <c r="AR60" s="1224">
        <v>2.618796055379069E-2</v>
      </c>
      <c r="AS60" s="1224">
        <v>8.9768466312744488E-2</v>
      </c>
    </row>
    <row r="61" spans="1:45" ht="15" x14ac:dyDescent="0.2">
      <c r="A61" s="1220">
        <v>22</v>
      </c>
      <c r="B61" s="169">
        <v>22</v>
      </c>
      <c r="C61" s="1228"/>
      <c r="D61" s="1228"/>
      <c r="E61" s="1228"/>
      <c r="F61" s="1225" t="s">
        <v>684</v>
      </c>
      <c r="G61" s="1226">
        <f t="shared" si="2"/>
        <v>1</v>
      </c>
      <c r="H61" s="1227" t="str">
        <f t="shared" si="3"/>
        <v>-</v>
      </c>
      <c r="J61" s="96" t="s">
        <v>87</v>
      </c>
      <c r="K61" s="1224">
        <v>3.6845934999359065E-2</v>
      </c>
      <c r="L61" s="1224">
        <v>0.10650511087512782</v>
      </c>
      <c r="M61" s="1224">
        <v>2.7952267993790914E-2</v>
      </c>
      <c r="N61" s="1224">
        <v>9.9594654568788687E-3</v>
      </c>
      <c r="O61" s="1224">
        <v>4.9947422327094149E-2</v>
      </c>
      <c r="P61" s="1224">
        <v>4.6999562095365599E-2</v>
      </c>
      <c r="Q61" s="1224">
        <v>6.6977552275072849E-2</v>
      </c>
      <c r="R61" s="1224">
        <v>1.5380408749947838E-2</v>
      </c>
      <c r="S61" s="1224">
        <v>1.6353448015046235E-2</v>
      </c>
      <c r="T61" s="1224">
        <v>1.3518398553381328E-2</v>
      </c>
      <c r="U61" s="1224">
        <v>2.1590246190714257E-2</v>
      </c>
      <c r="V61" s="1224">
        <v>2.6682566701678567E-2</v>
      </c>
      <c r="W61" s="1224">
        <v>2.7581710215742739E-2</v>
      </c>
      <c r="X61" s="1224">
        <v>7.5725246181754802E-2</v>
      </c>
      <c r="Y61" s="1224">
        <v>1.5840099302005806E-2</v>
      </c>
      <c r="Z61" s="1224">
        <v>4.5029132284898798E-2</v>
      </c>
      <c r="AA61" s="1224">
        <v>1.1420848331017641E-2</v>
      </c>
      <c r="AB61" s="1224">
        <v>2.6746763644784233E-2</v>
      </c>
      <c r="AC61" s="1224">
        <v>3.9252801246873803E-2</v>
      </c>
      <c r="AD61" s="1224">
        <v>4.9642671959923224E-2</v>
      </c>
      <c r="AE61" s="1224">
        <v>2.632538256629946E-2</v>
      </c>
      <c r="AF61" s="1224">
        <v>4.3747082461669473E-2</v>
      </c>
      <c r="AG61" s="1224">
        <v>3.4863602197966026E-2</v>
      </c>
      <c r="AH61" s="1224">
        <v>3.5544258303285003E-2</v>
      </c>
      <c r="AI61" s="1224">
        <v>2.0127807859257718E-2</v>
      </c>
      <c r="AJ61" s="1224">
        <v>3.303559361840569E-2</v>
      </c>
      <c r="AK61" s="1224">
        <v>8.3928275531035323E-2</v>
      </c>
      <c r="AL61" s="1224">
        <v>2.2861551039621064E-2</v>
      </c>
      <c r="AM61" s="1224">
        <v>2.0416409067036456E-2</v>
      </c>
      <c r="AN61" s="1224">
        <v>2.8560555686289124E-2</v>
      </c>
      <c r="AO61" s="1224">
        <v>4.2129458272107678E-2</v>
      </c>
      <c r="AP61" s="1224">
        <v>4.5266408502286692E-2</v>
      </c>
      <c r="AQ61" s="1224">
        <v>3.1972047488501021E-2</v>
      </c>
      <c r="AR61" s="1224">
        <v>2.6273541542738865E-2</v>
      </c>
      <c r="AS61" s="1224">
        <v>8.958770702848895E-2</v>
      </c>
    </row>
    <row r="62" spans="1:45" ht="15" x14ac:dyDescent="0.2">
      <c r="A62" s="1220">
        <v>23</v>
      </c>
      <c r="B62" s="169">
        <v>23</v>
      </c>
      <c r="C62" s="1228"/>
      <c r="D62" s="1228"/>
      <c r="E62" s="1228"/>
      <c r="F62" s="1225" t="s">
        <v>684</v>
      </c>
      <c r="G62" s="1226">
        <f t="shared" si="2"/>
        <v>1</v>
      </c>
      <c r="H62" s="1227" t="str">
        <f t="shared" si="3"/>
        <v>-</v>
      </c>
      <c r="J62" s="96" t="s">
        <v>87</v>
      </c>
      <c r="K62" s="1224">
        <v>3.709777639589884E-2</v>
      </c>
      <c r="L62" s="1224">
        <v>0.10554728595731033</v>
      </c>
      <c r="M62" s="1224">
        <v>2.8203361652517023E-2</v>
      </c>
      <c r="N62" s="1224">
        <v>1.0425270297686806E-2</v>
      </c>
      <c r="O62" s="1224">
        <v>4.9901775021059525E-2</v>
      </c>
      <c r="P62" s="1224">
        <v>4.764808876347093E-2</v>
      </c>
      <c r="Q62" s="1224">
        <v>6.652092733171977E-2</v>
      </c>
      <c r="R62" s="1224">
        <v>1.595812470670821E-2</v>
      </c>
      <c r="S62" s="1224">
        <v>1.6754747489086563E-2</v>
      </c>
      <c r="T62" s="1224">
        <v>1.3994914883562526E-2</v>
      </c>
      <c r="U62" s="1224">
        <v>2.1656593897889653E-2</v>
      </c>
      <c r="V62" s="1224">
        <v>2.6940220745015564E-2</v>
      </c>
      <c r="W62" s="1224">
        <v>2.7871535904171241E-2</v>
      </c>
      <c r="X62" s="1224">
        <v>7.5733608150001297E-2</v>
      </c>
      <c r="Y62" s="1224">
        <v>1.5709374120726816E-2</v>
      </c>
      <c r="Z62" s="1224">
        <v>4.5633642124884854E-2</v>
      </c>
      <c r="AA62" s="1224">
        <v>1.1711196493434883E-2</v>
      </c>
      <c r="AB62" s="1224">
        <v>2.672653001063674E-2</v>
      </c>
      <c r="AC62" s="1224">
        <v>3.8788733617253213E-2</v>
      </c>
      <c r="AD62" s="1224">
        <v>5.0378285990837268E-2</v>
      </c>
      <c r="AE62" s="1224">
        <v>2.6764615543011905E-2</v>
      </c>
      <c r="AF62" s="1224">
        <v>4.3853736200714311E-2</v>
      </c>
      <c r="AG62" s="1224">
        <v>3.506416589685335E-2</v>
      </c>
      <c r="AH62" s="1224">
        <v>3.6718900883630834E-2</v>
      </c>
      <c r="AI62" s="1224">
        <v>2.0543036389916391E-2</v>
      </c>
      <c r="AJ62" s="1224">
        <v>3.3099586045441498E-2</v>
      </c>
      <c r="AK62" s="1224">
        <v>8.3115529412708833E-2</v>
      </c>
      <c r="AL62" s="1224">
        <v>2.345655552900161E-2</v>
      </c>
      <c r="AM62" s="1224">
        <v>2.0888962645240872E-2</v>
      </c>
      <c r="AN62" s="1224">
        <v>2.8830731782650831E-2</v>
      </c>
      <c r="AO62" s="1224">
        <v>4.3098101672942812E-2</v>
      </c>
      <c r="AP62" s="1224">
        <v>4.5923348877665138E-2</v>
      </c>
      <c r="AQ62" s="1224">
        <v>3.3134669252961046E-2</v>
      </c>
      <c r="AR62" s="1224">
        <v>2.6386867749080167E-2</v>
      </c>
      <c r="AS62" s="1224">
        <v>8.9358765278950703E-2</v>
      </c>
    </row>
    <row r="63" spans="1:45" ht="15" x14ac:dyDescent="0.2">
      <c r="A63" s="1220">
        <v>24</v>
      </c>
      <c r="B63" s="169">
        <v>24</v>
      </c>
      <c r="C63" s="1228"/>
      <c r="D63" s="1228"/>
      <c r="E63" s="1228"/>
      <c r="F63" s="1225" t="s">
        <v>684</v>
      </c>
      <c r="G63" s="1226">
        <f t="shared" si="2"/>
        <v>1</v>
      </c>
      <c r="H63" s="1227" t="str">
        <f t="shared" si="3"/>
        <v>-</v>
      </c>
      <c r="J63" s="96" t="s">
        <v>87</v>
      </c>
      <c r="K63" s="1224">
        <v>3.7407395165552249E-2</v>
      </c>
      <c r="L63" s="1224">
        <v>0.10461223005989928</v>
      </c>
      <c r="M63" s="1224">
        <v>2.8436975390749408E-2</v>
      </c>
      <c r="N63" s="1224">
        <v>1.0929767497860121E-2</v>
      </c>
      <c r="O63" s="1224">
        <v>4.9845335713500249E-2</v>
      </c>
      <c r="P63" s="1224">
        <v>4.8266089589122929E-2</v>
      </c>
      <c r="Q63" s="1224">
        <v>6.60486175663626E-2</v>
      </c>
      <c r="R63" s="1224">
        <v>1.6515554974096291E-2</v>
      </c>
      <c r="S63" s="1224">
        <v>1.7168703895058535E-2</v>
      </c>
      <c r="T63" s="1224">
        <v>1.4484520169028459E-2</v>
      </c>
      <c r="U63" s="1224">
        <v>2.1740173464763979E-2</v>
      </c>
      <c r="V63" s="1224">
        <v>2.7184479868709532E-2</v>
      </c>
      <c r="W63" s="1224">
        <v>2.8191642789989091E-2</v>
      </c>
      <c r="X63" s="1224">
        <v>7.5728985623146672E-2</v>
      </c>
      <c r="Y63" s="1224">
        <v>1.5724673358733066E-2</v>
      </c>
      <c r="Z63" s="1224">
        <v>4.6228159357201815E-2</v>
      </c>
      <c r="AA63" s="1224">
        <v>1.1991269000924287E-2</v>
      </c>
      <c r="AB63" s="1224">
        <v>2.6737542015341287E-2</v>
      </c>
      <c r="AC63" s="1224">
        <v>3.8456709113628529E-2</v>
      </c>
      <c r="AD63" s="1224">
        <v>5.1077890297084094E-2</v>
      </c>
      <c r="AE63" s="1224">
        <v>2.7180749504519763E-2</v>
      </c>
      <c r="AF63" s="1224">
        <v>4.389983802214914E-2</v>
      </c>
      <c r="AG63" s="1224">
        <v>3.5271725344530935E-2</v>
      </c>
      <c r="AH63" s="1224">
        <v>3.7843013496588584E-2</v>
      </c>
      <c r="AI63" s="1224">
        <v>2.0975262766027569E-2</v>
      </c>
      <c r="AJ63" s="1224">
        <v>3.3159086012249261E-2</v>
      </c>
      <c r="AK63" s="1224">
        <v>8.2377985818871569E-2</v>
      </c>
      <c r="AL63" s="1224">
        <v>2.4057106059414357E-2</v>
      </c>
      <c r="AM63" s="1224">
        <v>2.1336335993611844E-2</v>
      </c>
      <c r="AN63" s="1224">
        <v>2.9078613852005164E-2</v>
      </c>
      <c r="AO63" s="1224">
        <v>4.402297847184089E-2</v>
      </c>
      <c r="AP63" s="1224">
        <v>4.6544044266674467E-2</v>
      </c>
      <c r="AQ63" s="1224">
        <v>3.4241028609270696E-2</v>
      </c>
      <c r="AR63" s="1224">
        <v>2.6526457428262651E-2</v>
      </c>
      <c r="AS63" s="1224">
        <v>8.9093835832078083E-2</v>
      </c>
    </row>
    <row r="64" spans="1:45" ht="15" x14ac:dyDescent="0.2">
      <c r="A64" s="1220">
        <v>25</v>
      </c>
      <c r="B64" s="169">
        <v>25</v>
      </c>
      <c r="C64" s="1228"/>
      <c r="D64" s="1228"/>
      <c r="E64" s="1228"/>
      <c r="F64" s="1225" t="s">
        <v>684</v>
      </c>
      <c r="G64" s="1226">
        <f t="shared" si="2"/>
        <v>1</v>
      </c>
      <c r="H64" s="1227" t="str">
        <f t="shared" si="3"/>
        <v>-</v>
      </c>
      <c r="J64" s="96" t="s">
        <v>87</v>
      </c>
      <c r="K64" s="1224">
        <v>3.7774807175183778E-2</v>
      </c>
      <c r="L64" s="1224">
        <v>0.10370294588397488</v>
      </c>
      <c r="M64" s="1224">
        <v>2.8654987318083691E-2</v>
      </c>
      <c r="N64" s="1224">
        <v>1.1457854516437216E-2</v>
      </c>
      <c r="O64" s="1224">
        <v>4.9780615920317572E-2</v>
      </c>
      <c r="P64" s="1224">
        <v>4.8854844093928929E-2</v>
      </c>
      <c r="Q64" s="1224">
        <v>6.5567846912171657E-2</v>
      </c>
      <c r="R64" s="1224">
        <v>1.7052173924794412E-2</v>
      </c>
      <c r="S64" s="1224">
        <v>1.7588280198426176E-2</v>
      </c>
      <c r="T64" s="1224">
        <v>1.4979131755323616E-2</v>
      </c>
      <c r="U64" s="1224">
        <v>2.1839968215893402E-2</v>
      </c>
      <c r="V64" s="1224">
        <v>2.7416307625887093E-2</v>
      </c>
      <c r="W64" s="1224">
        <v>2.8531628610886983E-2</v>
      </c>
      <c r="X64" s="1224">
        <v>7.5713923290369189E-2</v>
      </c>
      <c r="Y64" s="1224">
        <v>1.5847464739583206E-2</v>
      </c>
      <c r="Z64" s="1224">
        <v>4.6809244284235163E-2</v>
      </c>
      <c r="AA64" s="1224">
        <v>1.2262796053974956E-2</v>
      </c>
      <c r="AB64" s="1224">
        <v>2.6777604178417125E-2</v>
      </c>
      <c r="AC64" s="1224">
        <v>3.8227604347196298E-2</v>
      </c>
      <c r="AD64" s="1224">
        <v>5.1743207170106942E-2</v>
      </c>
      <c r="AE64" s="1224">
        <v>2.7575341483891957E-2</v>
      </c>
      <c r="AF64" s="1224">
        <v>4.3897720043505561E-2</v>
      </c>
      <c r="AG64" s="1224">
        <v>3.5482999744024468E-2</v>
      </c>
      <c r="AH64" s="1224">
        <v>3.8917095131277391E-2</v>
      </c>
      <c r="AI64" s="1224">
        <v>2.1416116440799104E-2</v>
      </c>
      <c r="AJ64" s="1224">
        <v>3.3214599128039257E-2</v>
      </c>
      <c r="AK64" s="1224">
        <v>8.170601794004595E-2</v>
      </c>
      <c r="AL64" s="1224">
        <v>2.4655702846447802E-2</v>
      </c>
      <c r="AM64" s="1224">
        <v>2.176025745760235E-2</v>
      </c>
      <c r="AN64" s="1224">
        <v>2.9306867280151971E-2</v>
      </c>
      <c r="AO64" s="1224">
        <v>4.4905220125575962E-2</v>
      </c>
      <c r="AP64" s="1224">
        <v>4.7131069606072939E-2</v>
      </c>
      <c r="AQ64" s="1224">
        <v>3.5293265526873618E-2</v>
      </c>
      <c r="AR64" s="1224">
        <v>2.6691240672705119E-2</v>
      </c>
      <c r="AS64" s="1224">
        <v>8.8802685366159873E-2</v>
      </c>
    </row>
    <row r="65" spans="1:45" ht="15" x14ac:dyDescent="0.2">
      <c r="A65" s="1220">
        <v>26</v>
      </c>
      <c r="B65" s="169">
        <v>26</v>
      </c>
      <c r="C65" s="1228"/>
      <c r="D65" s="1228"/>
      <c r="E65" s="1228"/>
      <c r="F65" s="1225" t="s">
        <v>684</v>
      </c>
      <c r="G65" s="1226">
        <f t="shared" si="2"/>
        <v>1</v>
      </c>
      <c r="H65" s="1227" t="str">
        <f t="shared" si="3"/>
        <v>-</v>
      </c>
      <c r="J65" s="96" t="s">
        <v>87</v>
      </c>
      <c r="K65" s="1224">
        <v>3.7671391807166055E-2</v>
      </c>
      <c r="L65" s="1224">
        <v>0.1028214929515272</v>
      </c>
      <c r="M65" s="1224">
        <v>2.8859001182317545E-2</v>
      </c>
      <c r="N65" s="1224">
        <v>1.1998339522334867E-2</v>
      </c>
      <c r="O65" s="1224">
        <v>4.970964632746E-2</v>
      </c>
      <c r="P65" s="1224">
        <v>4.9415692981069848E-2</v>
      </c>
      <c r="Q65" s="1224">
        <v>6.5084284843556439E-2</v>
      </c>
      <c r="R65" s="1224">
        <v>1.7567874977254094E-2</v>
      </c>
      <c r="S65" s="1224">
        <v>1.8008246994246191E-2</v>
      </c>
      <c r="T65" s="1224">
        <v>1.5472797206940392E-2</v>
      </c>
      <c r="U65" s="1224">
        <v>2.1831841119099415E-2</v>
      </c>
      <c r="V65" s="1224">
        <v>2.7636572854525587E-2</v>
      </c>
      <c r="W65" s="1224">
        <v>2.8883621835767759E-2</v>
      </c>
      <c r="X65" s="1224">
        <v>7.5690500081909917E-2</v>
      </c>
      <c r="Y65" s="1224">
        <v>1.6048919001177886E-2</v>
      </c>
      <c r="Z65" s="1224">
        <v>4.7374566947888441E-2</v>
      </c>
      <c r="AA65" s="1224">
        <v>1.24195957336104E-2</v>
      </c>
      <c r="AB65" s="1224">
        <v>2.6707985180920657E-2</v>
      </c>
      <c r="AC65" s="1224">
        <v>3.8078917486450869E-2</v>
      </c>
      <c r="AD65" s="1224">
        <v>5.2375979790333815E-2</v>
      </c>
      <c r="AE65" s="1224">
        <v>2.7949824092176945E-2</v>
      </c>
      <c r="AF65" s="1224">
        <v>4.3857407120311942E-2</v>
      </c>
      <c r="AG65" s="1224">
        <v>3.5695482226485664E-2</v>
      </c>
      <c r="AH65" s="1224">
        <v>3.9942284872177991E-2</v>
      </c>
      <c r="AI65" s="1224">
        <v>2.1859371201550459E-2</v>
      </c>
      <c r="AJ65" s="1224">
        <v>3.3266554598567977E-2</v>
      </c>
      <c r="AK65" s="1224">
        <v>8.1091534145582234E-2</v>
      </c>
      <c r="AL65" s="1224">
        <v>2.5246936508126483E-2</v>
      </c>
      <c r="AM65" s="1224">
        <v>2.2162313722912996E-2</v>
      </c>
      <c r="AN65" s="1224">
        <v>2.9517748486842299E-2</v>
      </c>
      <c r="AO65" s="1224">
        <v>4.5746282517539427E-2</v>
      </c>
      <c r="AP65" s="1224">
        <v>4.7686784301868013E-2</v>
      </c>
      <c r="AQ65" s="1224">
        <v>3.6293761060807173E-2</v>
      </c>
      <c r="AR65" s="1224">
        <v>2.6700559939403901E-2</v>
      </c>
      <c r="AS65" s="1224">
        <v>8.8493130487701466E-2</v>
      </c>
    </row>
    <row r="66" spans="1:45" ht="15" x14ac:dyDescent="0.2">
      <c r="A66" s="1220">
        <v>27</v>
      </c>
      <c r="B66" s="169">
        <v>27</v>
      </c>
      <c r="C66" s="1228"/>
      <c r="D66" s="1228"/>
      <c r="E66" s="1228"/>
      <c r="F66" s="1225" t="s">
        <v>684</v>
      </c>
      <c r="G66" s="1226">
        <f t="shared" si="2"/>
        <v>1</v>
      </c>
      <c r="H66" s="1227" t="str">
        <f t="shared" si="3"/>
        <v>-</v>
      </c>
      <c r="J66" s="96" t="s">
        <v>87</v>
      </c>
      <c r="K66" s="1224">
        <v>3.7622992120715404E-2</v>
      </c>
      <c r="L66" s="1224">
        <v>0.10196918246291942</v>
      </c>
      <c r="M66" s="1224">
        <v>2.905039612590099E-2</v>
      </c>
      <c r="N66" s="1224">
        <v>1.2542936053728138E-2</v>
      </c>
      <c r="O66" s="1224">
        <v>4.9634071953595926E-2</v>
      </c>
      <c r="P66" s="1224">
        <v>4.9949995925438584E-2</v>
      </c>
      <c r="Q66" s="1224">
        <v>6.4602352165426868E-2</v>
      </c>
      <c r="R66" s="1224">
        <v>1.8062849895261301E-2</v>
      </c>
      <c r="S66" s="1224">
        <v>1.8424738956642317E-2</v>
      </c>
      <c r="T66" s="1224">
        <v>1.5961161127528101E-2</v>
      </c>
      <c r="U66" s="1224">
        <v>2.1842024435309249E-2</v>
      </c>
      <c r="V66" s="1224">
        <v>2.7846062448775522E-2</v>
      </c>
      <c r="W66" s="1224">
        <v>2.924166589068955E-2</v>
      </c>
      <c r="X66" s="1224">
        <v>7.5660420172105836E-2</v>
      </c>
      <c r="Y66" s="1224">
        <v>1.6307307469195731E-2</v>
      </c>
      <c r="Z66" s="1224">
        <v>4.7922619320431181E-2</v>
      </c>
      <c r="AA66" s="1224">
        <v>1.2574825826309199E-2</v>
      </c>
      <c r="AB66" s="1224">
        <v>2.6667241100575945E-2</v>
      </c>
      <c r="AC66" s="1224">
        <v>3.7993136900888125E-2</v>
      </c>
      <c r="AD66" s="1224">
        <v>5.29779335198588E-2</v>
      </c>
      <c r="AE66" s="1224">
        <v>2.8305516711421008E-2</v>
      </c>
      <c r="AF66" s="1224">
        <v>4.3787058372232179E-2</v>
      </c>
      <c r="AG66" s="1224">
        <v>3.5907263520253974E-2</v>
      </c>
      <c r="AH66" s="1224">
        <v>4.0920138286092866E-2</v>
      </c>
      <c r="AI66" s="1224">
        <v>2.230041508140479E-2</v>
      </c>
      <c r="AJ66" s="1224">
        <v>3.3315319311912672E-2</v>
      </c>
      <c r="AK66" s="1224">
        <v>8.052768781696118E-2</v>
      </c>
      <c r="AL66" s="1224">
        <v>2.582695337228369E-2</v>
      </c>
      <c r="AM66" s="1224">
        <v>2.2543963065348782E-2</v>
      </c>
      <c r="AN66" s="1224">
        <v>2.9713180473864842E-2</v>
      </c>
      <c r="AO66" s="1224">
        <v>4.654781801150687E-2</v>
      </c>
      <c r="AP66" s="1224">
        <v>4.8213351997208331E-2</v>
      </c>
      <c r="AQ66" s="1224">
        <v>3.7245013037126684E-2</v>
      </c>
      <c r="AR66" s="1224">
        <v>2.6736784251922607E-2</v>
      </c>
      <c r="AS66" s="1224">
        <v>8.8171415834993327E-2</v>
      </c>
    </row>
    <row r="67" spans="1:45" ht="15" x14ac:dyDescent="0.2">
      <c r="A67" s="1220">
        <v>28</v>
      </c>
      <c r="B67" s="169">
        <v>28</v>
      </c>
      <c r="C67" s="1228"/>
      <c r="D67" s="1228"/>
      <c r="E67" s="1228"/>
      <c r="F67" s="1225" t="s">
        <v>684</v>
      </c>
      <c r="G67" s="1226">
        <f t="shared" si="2"/>
        <v>1</v>
      </c>
      <c r="H67" s="1227" t="str">
        <f t="shared" si="3"/>
        <v>-</v>
      </c>
      <c r="J67" s="96" t="s">
        <v>87</v>
      </c>
      <c r="K67" s="1224">
        <v>3.7627090043149014E-2</v>
      </c>
      <c r="L67" s="1224">
        <v>0.10114673440175892</v>
      </c>
      <c r="M67" s="1224">
        <v>2.923036586929828E-2</v>
      </c>
      <c r="N67" s="1224">
        <v>1.3085532025641333E-2</v>
      </c>
      <c r="O67" s="1224">
        <v>4.9555226746844649E-2</v>
      </c>
      <c r="P67" s="1224">
        <v>5.0459102639099918E-2</v>
      </c>
      <c r="Q67" s="1224">
        <v>6.4125465122192526E-2</v>
      </c>
      <c r="R67" s="1224">
        <v>1.8537500291719189E-2</v>
      </c>
      <c r="S67" s="1224">
        <v>1.8834925496945099E-2</v>
      </c>
      <c r="T67" s="1224">
        <v>1.6441071759506931E-2</v>
      </c>
      <c r="U67" s="1224">
        <v>2.1869320365268896E-2</v>
      </c>
      <c r="V67" s="1224">
        <v>2.8045491865203331E-2</v>
      </c>
      <c r="W67" s="1224">
        <v>2.960126272793695E-2</v>
      </c>
      <c r="X67" s="1224">
        <v>7.5625084328359238E-2</v>
      </c>
      <c r="Y67" s="1224">
        <v>1.6606160469744058E-2</v>
      </c>
      <c r="Z67" s="1224">
        <v>4.8452502790680585E-2</v>
      </c>
      <c r="AA67" s="1224">
        <v>1.2728980433412529E-2</v>
      </c>
      <c r="AB67" s="1224">
        <v>2.6653461812248924E-2</v>
      </c>
      <c r="AC67" s="1224">
        <v>3.795654995428599E-2</v>
      </c>
      <c r="AD67" s="1224">
        <v>5.3550750358547727E-2</v>
      </c>
      <c r="AE67" s="1224">
        <v>2.8643635661678157E-2</v>
      </c>
      <c r="AF67" s="1224">
        <v>4.3693318360658484E-2</v>
      </c>
      <c r="AG67" s="1224">
        <v>3.6116898075874815E-2</v>
      </c>
      <c r="AH67" s="1224">
        <v>4.1852469744445786E-2</v>
      </c>
      <c r="AI67" s="1224">
        <v>2.2735858146956556E-2</v>
      </c>
      <c r="AJ67" s="1224">
        <v>3.3361208909727491E-2</v>
      </c>
      <c r="AK67" s="1224">
        <v>8.0008650190363406E-2</v>
      </c>
      <c r="AL67" s="1224">
        <v>2.639306273766473E-2</v>
      </c>
      <c r="AM67" s="1224">
        <v>2.2906547290984403E-2</v>
      </c>
      <c r="AN67" s="1224">
        <v>2.9894812222479805E-2</v>
      </c>
      <c r="AO67" s="1224">
        <v>4.7311585650368526E-2</v>
      </c>
      <c r="AP67" s="1224">
        <v>4.8712758654504196E-2</v>
      </c>
      <c r="AQ67" s="1224">
        <v>3.8149551329599518E-2</v>
      </c>
      <c r="AR67" s="1224">
        <v>2.6798527705995001E-2</v>
      </c>
      <c r="AS67" s="1224">
        <v>8.7842515391054032E-2</v>
      </c>
    </row>
    <row r="68" spans="1:45" ht="15" x14ac:dyDescent="0.2">
      <c r="A68" s="1220">
        <v>29</v>
      </c>
      <c r="B68" s="169">
        <v>29</v>
      </c>
      <c r="C68" s="1228"/>
      <c r="D68" s="1228"/>
      <c r="E68" s="1228"/>
      <c r="F68" s="1225" t="s">
        <v>684</v>
      </c>
      <c r="G68" s="1226">
        <f t="shared" si="2"/>
        <v>1</v>
      </c>
      <c r="H68" s="1227" t="str">
        <f t="shared" si="3"/>
        <v>-</v>
      </c>
      <c r="J68" s="96" t="s">
        <v>87</v>
      </c>
      <c r="K68" s="1224">
        <v>3.7681899094846205E-2</v>
      </c>
      <c r="L68" s="1224">
        <v>0.10035440456122813</v>
      </c>
      <c r="M68" s="1224">
        <v>2.9399949863486485E-2</v>
      </c>
      <c r="N68" s="1224">
        <v>1.3621652484749669E-2</v>
      </c>
      <c r="O68" s="1224">
        <v>4.9474192536420381E-2</v>
      </c>
      <c r="P68" s="1224">
        <v>5.0944333333045266E-2</v>
      </c>
      <c r="Q68" s="1224">
        <v>6.3656231347882786E-2</v>
      </c>
      <c r="R68" s="1224">
        <v>1.8992372472998342E-2</v>
      </c>
      <c r="S68" s="1224">
        <v>1.9236764108168991E-2</v>
      </c>
      <c r="T68" s="1224">
        <v>1.6910288123477724E-2</v>
      </c>
      <c r="U68" s="1224">
        <v>2.1912747759291529E-2</v>
      </c>
      <c r="V68" s="1224">
        <v>2.8235513857298056E-2</v>
      </c>
      <c r="W68" s="1224">
        <v>2.9959031309070738E-2</v>
      </c>
      <c r="X68" s="1224">
        <v>7.5585646323293565E-2</v>
      </c>
      <c r="Y68" s="1224">
        <v>1.6932944017697515E-2</v>
      </c>
      <c r="Z68" s="1224">
        <v>4.8963770128211292E-2</v>
      </c>
      <c r="AA68" s="1224">
        <v>1.2882501700492099E-2</v>
      </c>
      <c r="AB68" s="1224">
        <v>2.6665094067309436E-2</v>
      </c>
      <c r="AC68" s="1224">
        <v>3.7958362269687962E-2</v>
      </c>
      <c r="AD68" s="1224">
        <v>5.4096052593742838E-2</v>
      </c>
      <c r="AE68" s="1224">
        <v>2.8965303406216281E-2</v>
      </c>
      <c r="AF68" s="1224">
        <v>4.3581598286208001E-2</v>
      </c>
      <c r="AG68" s="1224">
        <v>3.6323301623764737E-2</v>
      </c>
      <c r="AH68" s="1224">
        <v>4.2741241147350451E-2</v>
      </c>
      <c r="AI68" s="1224">
        <v>2.3163239688991144E-2</v>
      </c>
      <c r="AJ68" s="1224">
        <v>3.3404496571169062E-2</v>
      </c>
      <c r="AK68" s="1224">
        <v>7.9529430845239224E-2</v>
      </c>
      <c r="AL68" s="1224">
        <v>2.6943445879883177E-2</v>
      </c>
      <c r="AM68" s="1224">
        <v>2.3251302474684543E-2</v>
      </c>
      <c r="AN68" s="1224">
        <v>3.0064065829831677E-2</v>
      </c>
      <c r="AO68" s="1224">
        <v>4.8039388309156994E-2</v>
      </c>
      <c r="AP68" s="1224">
        <v>4.9186828984700171E-2</v>
      </c>
      <c r="AQ68" s="1224">
        <v>3.9009880707985056E-2</v>
      </c>
      <c r="AR68" s="1224">
        <v>2.6884722628256252E-2</v>
      </c>
      <c r="AS68" s="1224">
        <v>8.7510374077629516E-2</v>
      </c>
    </row>
    <row r="69" spans="1:45" ht="15" x14ac:dyDescent="0.2">
      <c r="A69" s="1220">
        <v>30</v>
      </c>
      <c r="B69" s="169">
        <v>30</v>
      </c>
      <c r="C69" s="1228"/>
      <c r="D69" s="1228"/>
      <c r="E69" s="1228"/>
      <c r="F69" s="1225" t="s">
        <v>684</v>
      </c>
      <c r="G69" s="1226">
        <f t="shared" si="2"/>
        <v>1</v>
      </c>
      <c r="H69" s="1227" t="str">
        <f t="shared" si="3"/>
        <v>-</v>
      </c>
      <c r="J69" s="96" t="s">
        <v>87</v>
      </c>
      <c r="K69" s="1224">
        <v>3.7786301303338155E-2</v>
      </c>
      <c r="L69" s="1224">
        <v>9.9592087388469697E-2</v>
      </c>
      <c r="M69" s="1224">
        <v>2.9560058277430912E-2</v>
      </c>
      <c r="N69" s="1224">
        <v>1.4148060974653598E-2</v>
      </c>
      <c r="O69" s="1224">
        <v>4.9391845960846448E-2</v>
      </c>
      <c r="P69" s="1224">
        <v>5.140696585478155E-2</v>
      </c>
      <c r="Q69" s="1224">
        <v>6.3196607835676932E-2</v>
      </c>
      <c r="R69" s="1224">
        <v>1.9428109340199562E-2</v>
      </c>
      <c r="S69" s="1224">
        <v>1.9628814214184942E-2</v>
      </c>
      <c r="T69" s="1224">
        <v>1.7367260274785856E-2</v>
      </c>
      <c r="U69" s="1224">
        <v>2.1971510581659137E-2</v>
      </c>
      <c r="V69" s="1224">
        <v>2.8416725807022924E-2</v>
      </c>
      <c r="W69" s="1224">
        <v>3.0312449903412864E-2</v>
      </c>
      <c r="X69" s="1224">
        <v>7.5543057878140196E-2</v>
      </c>
      <c r="Y69" s="1224">
        <v>1.727809596426888E-2</v>
      </c>
      <c r="Z69" s="1224">
        <v>4.9456307248681552E-2</v>
      </c>
      <c r="AA69" s="1224">
        <v>1.3035789558458744E-2</v>
      </c>
      <c r="AB69" s="1224">
        <v>2.6700891666722404E-2</v>
      </c>
      <c r="AC69" s="1224">
        <v>3.7990039185908042E-2</v>
      </c>
      <c r="AD69" s="1224">
        <v>5.4615392881028013E-2</v>
      </c>
      <c r="AE69" s="1224">
        <v>2.9271556870306137E-2</v>
      </c>
      <c r="AF69" s="1224">
        <v>4.3456302429409011E-2</v>
      </c>
      <c r="AG69" s="1224">
        <v>3.6525672230235395E-2</v>
      </c>
      <c r="AH69" s="1224">
        <v>4.3588483557695401E-2</v>
      </c>
      <c r="AI69" s="1224">
        <v>2.35808078711226E-2</v>
      </c>
      <c r="AJ69" s="1224">
        <v>3.3445420042893081E-2</v>
      </c>
      <c r="AK69" s="1224">
        <v>7.9085734607822644E-2</v>
      </c>
      <c r="AL69" s="1224">
        <v>2.7476938788873584E-2</v>
      </c>
      <c r="AM69" s="1224">
        <v>2.3579368608882989E-2</v>
      </c>
      <c r="AN69" s="1224">
        <v>3.0222174238833555E-2</v>
      </c>
      <c r="AO69" s="1224">
        <v>4.8733029017416385E-2</v>
      </c>
      <c r="AP69" s="1224">
        <v>4.9637241311081937E-2</v>
      </c>
      <c r="AQ69" s="1224">
        <v>3.9828442981314494E-2</v>
      </c>
      <c r="AR69" s="1224">
        <v>2.699458102056318E-2</v>
      </c>
      <c r="AS69" s="1224">
        <v>8.7178102433517202E-2</v>
      </c>
    </row>
    <row r="70" spans="1:45" ht="15" x14ac:dyDescent="0.2">
      <c r="A70" s="1220">
        <v>31</v>
      </c>
      <c r="B70" s="169">
        <v>31</v>
      </c>
      <c r="C70" s="1228"/>
      <c r="D70" s="1228"/>
      <c r="E70" s="1228"/>
      <c r="F70" s="1225" t="s">
        <v>684</v>
      </c>
      <c r="G70" s="1226">
        <f t="shared" si="2"/>
        <v>1</v>
      </c>
      <c r="H70" s="1227" t="str">
        <f t="shared" si="3"/>
        <v>-</v>
      </c>
      <c r="J70" s="96" t="s">
        <v>87</v>
      </c>
      <c r="K70" s="1224">
        <v>3.7892282549931267E-2</v>
      </c>
      <c r="L70" s="1224">
        <v>9.8859399256397973E-2</v>
      </c>
      <c r="M70" s="1224">
        <v>2.9711492206074608E-2</v>
      </c>
      <c r="N70" s="1224">
        <v>1.466246123644166E-2</v>
      </c>
      <c r="O70" s="1224">
        <v>4.9308896069756969E-2</v>
      </c>
      <c r="P70" s="1224">
        <v>5.184822757767793E-2</v>
      </c>
      <c r="Q70" s="1224">
        <v>6.2748028703000891E-2</v>
      </c>
      <c r="R70" s="1224">
        <v>1.984541484626301E-2</v>
      </c>
      <c r="S70" s="1224">
        <v>2.0010095724318555E-2</v>
      </c>
      <c r="T70" s="1224">
        <v>1.7810963270511238E-2</v>
      </c>
      <c r="U70" s="1224">
        <v>2.207271024616686E-2</v>
      </c>
      <c r="V70" s="1224">
        <v>2.8589675932729985E-2</v>
      </c>
      <c r="W70" s="1224">
        <v>3.0659660154311874E-2</v>
      </c>
      <c r="X70" s="1224">
        <v>7.5498104717008241E-2</v>
      </c>
      <c r="Y70" s="1224">
        <v>1.7634315486062313E-2</v>
      </c>
      <c r="Z70" s="1224">
        <v>4.9930244313979744E-2</v>
      </c>
      <c r="AA70" s="1224">
        <v>1.32543153050384E-2</v>
      </c>
      <c r="AB70" s="1224">
        <v>2.6810833149078173E-2</v>
      </c>
      <c r="AC70" s="1224">
        <v>3.8044808326975099E-2</v>
      </c>
      <c r="AD70" s="1224">
        <v>5.5110248818888374E-2</v>
      </c>
      <c r="AE70" s="1224">
        <v>2.9563354951972043E-2</v>
      </c>
      <c r="AF70" s="1224">
        <v>4.3321011367459583E-2</v>
      </c>
      <c r="AG70" s="1224">
        <v>3.6723429077113234E-2</v>
      </c>
      <c r="AH70" s="1224">
        <v>4.4396242327019442E-2</v>
      </c>
      <c r="AI70" s="1224">
        <v>2.398735272745034E-2</v>
      </c>
      <c r="AJ70" s="1224">
        <v>3.3484187310896418E-2</v>
      </c>
      <c r="AK70" s="1224">
        <v>7.8673846561738481E-2</v>
      </c>
      <c r="AL70" s="1224">
        <v>2.7992868873379706E-2</v>
      </c>
      <c r="AM70" s="1224">
        <v>2.3891798271454379E-2</v>
      </c>
      <c r="AN70" s="1224">
        <v>3.0370211681114201E-2</v>
      </c>
      <c r="AO70" s="1224">
        <v>4.9394280982454797E-2</v>
      </c>
      <c r="AP70" s="1224">
        <v>5.006554098154381E-2</v>
      </c>
      <c r="AQ70" s="1224">
        <v>4.0607592684486882E-2</v>
      </c>
      <c r="AR70" s="1224">
        <v>2.7117395560351643E-2</v>
      </c>
      <c r="AS70" s="1224">
        <v>8.684813411700909E-2</v>
      </c>
    </row>
    <row r="71" spans="1:45" ht="15" x14ac:dyDescent="0.2">
      <c r="A71" s="1220">
        <v>32</v>
      </c>
      <c r="B71" s="169">
        <v>32</v>
      </c>
      <c r="C71" s="1228"/>
      <c r="D71" s="1228"/>
      <c r="E71" s="1228"/>
      <c r="F71" s="1225" t="s">
        <v>684</v>
      </c>
      <c r="G71" s="1226">
        <f t="shared" si="2"/>
        <v>1</v>
      </c>
      <c r="H71" s="1227" t="str">
        <f t="shared" si="3"/>
        <v>-</v>
      </c>
      <c r="J71" s="96" t="s">
        <v>87</v>
      </c>
      <c r="K71" s="1224">
        <v>3.7989112221283206E-2</v>
      </c>
      <c r="L71" s="1224">
        <v>9.815574581762565E-2</v>
      </c>
      <c r="M71" s="1224">
        <v>2.9854960138887776E-2</v>
      </c>
      <c r="N71" s="1224">
        <v>1.5163272316319309E-2</v>
      </c>
      <c r="O71" s="1224">
        <v>4.9225914629713596E-2</v>
      </c>
      <c r="P71" s="1224">
        <v>5.2269290671380197E-2</v>
      </c>
      <c r="Q71" s="1224">
        <v>6.2311508771334623E-2</v>
      </c>
      <c r="R71" s="1224">
        <v>2.0245027754166589E-2</v>
      </c>
      <c r="S71" s="1224">
        <v>2.0379980913760809E-2</v>
      </c>
      <c r="T71" s="1224">
        <v>1.8240770953451335E-2</v>
      </c>
      <c r="U71" s="1224">
        <v>2.2213322933861246E-2</v>
      </c>
      <c r="V71" s="1224">
        <v>2.8754868587646198E-2</v>
      </c>
      <c r="W71" s="1224">
        <v>3.099931709744741E-2</v>
      </c>
      <c r="X71" s="1224">
        <v>7.5451435671730405E-2</v>
      </c>
      <c r="Y71" s="1224">
        <v>1.7996033710292902E-2</v>
      </c>
      <c r="Z71" s="1224">
        <v>5.0385888625082975E-2</v>
      </c>
      <c r="AA71" s="1224">
        <v>1.3536232548388094E-2</v>
      </c>
      <c r="AB71" s="1224">
        <v>2.6989247776669112E-2</v>
      </c>
      <c r="AC71" s="1224">
        <v>3.8117280399295739E-2</v>
      </c>
      <c r="AD71" s="1224">
        <v>5.5582020650227326E-2</v>
      </c>
      <c r="AE71" s="1224">
        <v>2.9841585301400686E-2</v>
      </c>
      <c r="AF71" s="1224">
        <v>4.317863081143325E-2</v>
      </c>
      <c r="AG71" s="1224">
        <v>3.6916164718596489E-2</v>
      </c>
      <c r="AH71" s="1224">
        <v>4.5166539075705225E-2</v>
      </c>
      <c r="AI71" s="1224">
        <v>2.4382078800886164E-2</v>
      </c>
      <c r="AJ71" s="1224">
        <v>3.3520981211100587E-2</v>
      </c>
      <c r="AK71" s="1224">
        <v>7.8290538952480615E-2</v>
      </c>
      <c r="AL71" s="1224">
        <v>2.8490931525698038E-2</v>
      </c>
      <c r="AM71" s="1224">
        <v>2.4189564414837106E-2</v>
      </c>
      <c r="AN71" s="1224">
        <v>3.0509118423712289E-2</v>
      </c>
      <c r="AO71" s="1224">
        <v>5.0024867438985599E-2</v>
      </c>
      <c r="AP71" s="1224">
        <v>5.0473152453249126E-2</v>
      </c>
      <c r="AQ71" s="1224">
        <v>4.1349582279181618E-2</v>
      </c>
      <c r="AR71" s="1224">
        <v>2.7248228141688591E-2</v>
      </c>
      <c r="AS71" s="1224">
        <v>8.6522353736502078E-2</v>
      </c>
    </row>
    <row r="72" spans="1:45" ht="15" x14ac:dyDescent="0.2">
      <c r="A72" s="1220">
        <v>33</v>
      </c>
      <c r="B72" s="169">
        <v>33</v>
      </c>
      <c r="C72" s="1228"/>
      <c r="D72" s="1228"/>
      <c r="E72" s="1228"/>
      <c r="F72" s="1225" t="s">
        <v>684</v>
      </c>
      <c r="G72" s="1226">
        <f t="shared" ref="G72:G128" si="4">1/(1+SUM(H72))^A72</f>
        <v>1</v>
      </c>
      <c r="H72" s="1227" t="str">
        <f t="shared" si="3"/>
        <v>-</v>
      </c>
      <c r="J72" s="96" t="s">
        <v>87</v>
      </c>
      <c r="K72" s="1224">
        <v>3.8077804712323804E-2</v>
      </c>
      <c r="L72" s="1224">
        <v>9.7480376371563038E-2</v>
      </c>
      <c r="M72" s="1224">
        <v>2.9991091477581833E-2</v>
      </c>
      <c r="N72" s="1224">
        <v>1.5649457901639297E-2</v>
      </c>
      <c r="O72" s="1224">
        <v>4.9143360678041814E-2</v>
      </c>
      <c r="P72" s="1224">
        <v>5.2671269770857787E-2</v>
      </c>
      <c r="Q72" s="1224">
        <v>6.1887727672890858E-2</v>
      </c>
      <c r="R72" s="1224">
        <v>2.0627702322366215E-2</v>
      </c>
      <c r="S72" s="1224">
        <v>2.0738111348702848E-2</v>
      </c>
      <c r="T72" s="1224">
        <v>1.865635950041078E-2</v>
      </c>
      <c r="U72" s="1224">
        <v>2.2382882812792326E-2</v>
      </c>
      <c r="V72" s="1224">
        <v>2.8912768815086531E-2</v>
      </c>
      <c r="W72" s="1224">
        <v>3.1330473662272151E-2</v>
      </c>
      <c r="X72" s="1224">
        <v>7.5403586310492043E-2</v>
      </c>
      <c r="Y72" s="1224">
        <v>1.8359015536213219E-2</v>
      </c>
      <c r="Z72" s="1224">
        <v>5.0823673820249438E-2</v>
      </c>
      <c r="AA72" s="1224">
        <v>1.3862828058803567E-2</v>
      </c>
      <c r="AB72" s="1224">
        <v>2.7217319673842333E-2</v>
      </c>
      <c r="AC72" s="1224">
        <v>3.8203157697688894E-2</v>
      </c>
      <c r="AD72" s="1224">
        <v>5.603203112116617E-2</v>
      </c>
      <c r="AE72" s="1224">
        <v>3.010707044148786E-2</v>
      </c>
      <c r="AF72" s="1224">
        <v>4.3031512920628456E-2</v>
      </c>
      <c r="AG72" s="1224">
        <v>3.7103607663135918E-2</v>
      </c>
      <c r="AH72" s="1224">
        <v>4.5901345809777006E-2</v>
      </c>
      <c r="AI72" s="1224">
        <v>2.4764507483358233E-2</v>
      </c>
      <c r="AJ72" s="1224">
        <v>3.3555963203617756E-2</v>
      </c>
      <c r="AK72" s="1224">
        <v>7.7932995291679186E-2</v>
      </c>
      <c r="AL72" s="1224">
        <v>2.8971096370402849E-2</v>
      </c>
      <c r="AM72" s="1224">
        <v>2.4473567370204119E-2</v>
      </c>
      <c r="AN72" s="1224">
        <v>3.0639721025405908E-2</v>
      </c>
      <c r="AO72" s="1224">
        <v>5.0626448559092152E-2</v>
      </c>
      <c r="AP72" s="1224">
        <v>5.0861390173826626E-2</v>
      </c>
      <c r="AQ72" s="1224">
        <v>4.2056554027586568E-2</v>
      </c>
      <c r="AR72" s="1224">
        <v>2.738447867200855E-2</v>
      </c>
      <c r="AS72" s="1224">
        <v>8.6202200855607813E-2</v>
      </c>
    </row>
    <row r="73" spans="1:45" ht="15" x14ac:dyDescent="0.2">
      <c r="A73" s="1220">
        <v>34</v>
      </c>
      <c r="B73" s="169">
        <v>34</v>
      </c>
      <c r="C73" s="1228"/>
      <c r="D73" s="1228"/>
      <c r="E73" s="1228"/>
      <c r="F73" s="1225" t="s">
        <v>684</v>
      </c>
      <c r="G73" s="1226">
        <f t="shared" si="4"/>
        <v>1</v>
      </c>
      <c r="H73" s="1227" t="str">
        <f t="shared" si="3"/>
        <v>-</v>
      </c>
      <c r="J73" s="96" t="s">
        <v>87</v>
      </c>
      <c r="K73" s="1224">
        <v>3.8159242272492122E-2</v>
      </c>
      <c r="L73" s="1224">
        <v>9.6832427616017291E-2</v>
      </c>
      <c r="M73" s="1224">
        <v>3.012044770663258E-2</v>
      </c>
      <c r="N73" s="1224">
        <v>1.6120396071580112E-2</v>
      </c>
      <c r="O73" s="1224">
        <v>4.9061600509758607E-2</v>
      </c>
      <c r="P73" s="1224">
        <v>5.305522133639462E-2</v>
      </c>
      <c r="Q73" s="1224">
        <v>6.1477098208820413E-2</v>
      </c>
      <c r="R73" s="1224">
        <v>2.099419417255155E-2</v>
      </c>
      <c r="S73" s="1224">
        <v>2.1084333772347419E-2</v>
      </c>
      <c r="T73" s="1224">
        <v>1.9057633389426121E-2</v>
      </c>
      <c r="U73" s="1224">
        <v>2.2573270430711778E-2</v>
      </c>
      <c r="V73" s="1224">
        <v>2.9063806290682059E-2</v>
      </c>
      <c r="W73" s="1224">
        <v>3.1652491256140003E-2</v>
      </c>
      <c r="X73" s="1224">
        <v>7.5354998219558045E-2</v>
      </c>
      <c r="Y73" s="1224">
        <v>1.8720057597933382E-2</v>
      </c>
      <c r="Z73" s="1224">
        <v>5.1244121350688454E-2</v>
      </c>
      <c r="AA73" s="1224">
        <v>1.4219980362806472E-2</v>
      </c>
      <c r="AB73" s="1224">
        <v>2.7480752785099982E-2</v>
      </c>
      <c r="AC73" s="1224">
        <v>3.8299008332275619E-2</v>
      </c>
      <c r="AD73" s="1224">
        <v>5.6461526806948159E-2</v>
      </c>
      <c r="AE73" s="1224">
        <v>3.0360573296552618E-2</v>
      </c>
      <c r="AF73" s="1224">
        <v>4.2881555460985599E-2</v>
      </c>
      <c r="AG73" s="1224">
        <v>3.7285592919752863E-2</v>
      </c>
      <c r="AH73" s="1224">
        <v>4.6602567795780425E-2</v>
      </c>
      <c r="AI73" s="1224">
        <v>2.5134401781238047E-2</v>
      </c>
      <c r="AJ73" s="1224">
        <v>3.3589276482745234E-2</v>
      </c>
      <c r="AK73" s="1224">
        <v>7.7598748080942137E-2</v>
      </c>
      <c r="AL73" s="1224">
        <v>2.9433535783914389E-2</v>
      </c>
      <c r="AM73" s="1224">
        <v>2.4744641151634994E-2</v>
      </c>
      <c r="AN73" s="1224">
        <v>3.0762749025350145E-2</v>
      </c>
      <c r="AO73" s="1224">
        <v>5.1200613434690734E-2</v>
      </c>
      <c r="AP73" s="1224">
        <v>5.1231468378090117E-2</v>
      </c>
      <c r="AQ73" s="1224">
        <v>4.2730536523677864E-2</v>
      </c>
      <c r="AR73" s="1224">
        <v>2.7524086377513468E-2</v>
      </c>
      <c r="AS73" s="1224">
        <v>8.5888754771802134E-2</v>
      </c>
    </row>
    <row r="74" spans="1:45" ht="15" x14ac:dyDescent="0.2">
      <c r="A74" s="1220">
        <v>35</v>
      </c>
      <c r="B74" s="169">
        <v>35</v>
      </c>
      <c r="C74" s="1228"/>
      <c r="D74" s="1228"/>
      <c r="E74" s="1228"/>
      <c r="F74" s="1225" t="s">
        <v>684</v>
      </c>
      <c r="G74" s="1226">
        <f t="shared" si="4"/>
        <v>1</v>
      </c>
      <c r="H74" s="1227" t="str">
        <f t="shared" si="3"/>
        <v>-</v>
      </c>
      <c r="J74" s="96" t="s">
        <v>87</v>
      </c>
      <c r="K74" s="1224">
        <v>3.8234194726234128E-2</v>
      </c>
      <c r="L74" s="1224">
        <v>9.6210958714442629E-2</v>
      </c>
      <c r="M74" s="1224">
        <v>3.0243531682691893E-2</v>
      </c>
      <c r="N74" s="1224">
        <v>1.6575779409456981E-2</v>
      </c>
      <c r="O74" s="1224">
        <v>4.8980924015036731E-2</v>
      </c>
      <c r="P74" s="1224">
        <v>5.3422144192804E-2</v>
      </c>
      <c r="Q74" s="1224">
        <v>6.1079821926876665E-2</v>
      </c>
      <c r="R74" s="1224">
        <v>2.1345250047974718E-2</v>
      </c>
      <c r="S74" s="1224">
        <v>2.1418650442704967E-2</v>
      </c>
      <c r="T74" s="1224">
        <v>1.9444668369933416E-2</v>
      </c>
      <c r="U74" s="1224">
        <v>2.2778176301214481E-2</v>
      </c>
      <c r="V74" s="1224">
        <v>2.9208378754823849E-2</v>
      </c>
      <c r="W74" s="1224">
        <v>3.1964970220847988E-2</v>
      </c>
      <c r="X74" s="1224">
        <v>7.5306034811343014E-2</v>
      </c>
      <c r="Y74" s="1224">
        <v>1.9076757429476343E-2</v>
      </c>
      <c r="Z74" s="1224">
        <v>5.1647811253026088E-2</v>
      </c>
      <c r="AA74" s="1224">
        <v>1.4597003117018836E-2</v>
      </c>
      <c r="AB74" s="1224">
        <v>2.7768646527924323E-2</v>
      </c>
      <c r="AC74" s="1224">
        <v>3.8402090153586199E-2</v>
      </c>
      <c r="AD74" s="1224">
        <v>5.6871680412583947E-2</v>
      </c>
      <c r="AE74" s="1224">
        <v>3.0602802190344836E-2</v>
      </c>
      <c r="AF74" s="1224">
        <v>4.2730283043710848E-2</v>
      </c>
      <c r="AG74" s="1224">
        <v>3.7462038726554514E-2</v>
      </c>
      <c r="AH74" s="1224">
        <v>4.7272032758236548E-2</v>
      </c>
      <c r="AI74" s="1224">
        <v>2.549170813003121E-2</v>
      </c>
      <c r="AJ74" s="1224">
        <v>3.3621048555417143E-2</v>
      </c>
      <c r="AK74" s="1224">
        <v>7.7285627400496493E-2</v>
      </c>
      <c r="AL74" s="1224">
        <v>2.9878570235674973E-2</v>
      </c>
      <c r="AM74" s="1224">
        <v>2.5003559136494102E-2</v>
      </c>
      <c r="AN74" s="1224">
        <v>3.0878848776232815E-2</v>
      </c>
      <c r="AO74" s="1224">
        <v>5.1748875695866392E-2</v>
      </c>
      <c r="AP74" s="1224">
        <v>5.1584509911245968E-2</v>
      </c>
      <c r="AQ74" s="1224">
        <v>4.3373444446486387E-2</v>
      </c>
      <c r="AR74" s="1224">
        <v>2.7665421419326375E-2</v>
      </c>
      <c r="AS74" s="1224">
        <v>8.5582803716414801E-2</v>
      </c>
    </row>
    <row r="75" spans="1:45" ht="15" x14ac:dyDescent="0.2">
      <c r="A75" s="1220">
        <v>36</v>
      </c>
      <c r="B75" s="169">
        <v>36</v>
      </c>
      <c r="C75" s="1228"/>
      <c r="D75" s="1228"/>
      <c r="E75" s="1228"/>
      <c r="F75" s="1225" t="s">
        <v>684</v>
      </c>
      <c r="G75" s="1226">
        <f t="shared" si="4"/>
        <v>1</v>
      </c>
      <c r="H75" s="1227" t="str">
        <f t="shared" si="3"/>
        <v>-</v>
      </c>
      <c r="J75" s="96" t="s">
        <v>87</v>
      </c>
      <c r="K75" s="1224">
        <v>3.8303335860466525E-2</v>
      </c>
      <c r="L75" s="1224">
        <v>9.5614979258805244E-2</v>
      </c>
      <c r="M75" s="1224">
        <v>3.0360795405798502E-2</v>
      </c>
      <c r="N75" s="1224">
        <v>1.7015538090475735E-2</v>
      </c>
      <c r="O75" s="1224">
        <v>4.890155808310559E-2</v>
      </c>
      <c r="P75" s="1224">
        <v>5.3772980876916732E-2</v>
      </c>
      <c r="Q75" s="1224">
        <v>6.0695934299301646E-2</v>
      </c>
      <c r="R75" s="1224">
        <v>2.1681600499973364E-2</v>
      </c>
      <c r="S75" s="1224">
        <v>2.1741180552859118E-2</v>
      </c>
      <c r="T75" s="1224">
        <v>1.9817667408889239E-2</v>
      </c>
      <c r="U75" s="1224">
        <v>2.2992695461003132E-2</v>
      </c>
      <c r="V75" s="1224">
        <v>2.9346855017835738E-2</v>
      </c>
      <c r="W75" s="1224">
        <v>3.2267695530893592E-2</v>
      </c>
      <c r="X75" s="1224">
        <v>7.5256994339462757E-2</v>
      </c>
      <c r="Y75" s="1224">
        <v>1.9427335870658258E-2</v>
      </c>
      <c r="Z75" s="1224">
        <v>5.203535999626685E-2</v>
      </c>
      <c r="AA75" s="1224">
        <v>1.4985802481564114E-2</v>
      </c>
      <c r="AB75" s="1224">
        <v>2.8072673585972874E-2</v>
      </c>
      <c r="AC75" s="1224">
        <v>3.8510212577227199E-2</v>
      </c>
      <c r="AD75" s="1224">
        <v>5.7263593696828874E-2</v>
      </c>
      <c r="AE75" s="1224">
        <v>3.0834415368572232E-2</v>
      </c>
      <c r="AF75" s="1224">
        <v>4.2578913812076458E-2</v>
      </c>
      <c r="AG75" s="1224">
        <v>3.7632928105677088E-2</v>
      </c>
      <c r="AH75" s="1224">
        <v>4.7911484633980539E-2</v>
      </c>
      <c r="AI75" s="1224">
        <v>2.5836511253173544E-2</v>
      </c>
      <c r="AJ75" s="1224">
        <v>3.3651393391372464E-2</v>
      </c>
      <c r="AK75" s="1224">
        <v>7.6991718225299488E-2</v>
      </c>
      <c r="AL75" s="1224">
        <v>3.0306626411800819E-2</v>
      </c>
      <c r="AM75" s="1224">
        <v>2.5251039189994939E-2</v>
      </c>
      <c r="AN75" s="1224">
        <v>3.09885949761457E-2</v>
      </c>
      <c r="AO75" s="1224">
        <v>5.2272671721986352E-2</v>
      </c>
      <c r="AP75" s="1224">
        <v>5.1921554180275331E-2</v>
      </c>
      <c r="AQ75" s="1224">
        <v>4.3987080509548138E-2</v>
      </c>
      <c r="AR75" s="1224">
        <v>2.7807199259035853E-2</v>
      </c>
      <c r="AS75" s="1224">
        <v>8.5284901389602208E-2</v>
      </c>
    </row>
    <row r="76" spans="1:45" ht="15" x14ac:dyDescent="0.2">
      <c r="A76" s="1220">
        <v>37</v>
      </c>
      <c r="B76" s="169">
        <v>37</v>
      </c>
      <c r="C76" s="1228"/>
      <c r="D76" s="1228"/>
      <c r="E76" s="1228"/>
      <c r="F76" s="1225" t="s">
        <v>684</v>
      </c>
      <c r="G76" s="1226">
        <f t="shared" si="4"/>
        <v>1</v>
      </c>
      <c r="H76" s="1227" t="str">
        <f t="shared" si="3"/>
        <v>-</v>
      </c>
      <c r="J76" s="96" t="s">
        <v>87</v>
      </c>
      <c r="K76" s="1224">
        <v>3.8367257110470954E-2</v>
      </c>
      <c r="L76" s="1224">
        <v>9.5043471424824277E-2</v>
      </c>
      <c r="M76" s="1224">
        <v>3.0472646557113237E-2</v>
      </c>
      <c r="N76" s="1224">
        <v>1.7439780470164923E-2</v>
      </c>
      <c r="O76" s="1224">
        <v>4.8823677635362994E-2</v>
      </c>
      <c r="P76" s="1224">
        <v>5.4108619524110946E-2</v>
      </c>
      <c r="Q76" s="1224">
        <v>6.0325341421094025E-2</v>
      </c>
      <c r="R76" s="1224">
        <v>2.2003954781578239E-2</v>
      </c>
      <c r="S76" s="1224">
        <v>2.2052130196986042E-2</v>
      </c>
      <c r="T76" s="1224">
        <v>2.0176926595325106E-2</v>
      </c>
      <c r="U76" s="1224">
        <v>2.3213018329907298E-2</v>
      </c>
      <c r="V76" s="1224">
        <v>2.9479577604438312E-2</v>
      </c>
      <c r="W76" s="1224">
        <v>3.2560594252848185E-2</v>
      </c>
      <c r="X76" s="1224">
        <v>7.5208120655248623E-2</v>
      </c>
      <c r="Y76" s="1224">
        <v>1.9770499631860616E-2</v>
      </c>
      <c r="Z76" s="1224">
        <v>5.2407403734950453E-2</v>
      </c>
      <c r="AA76" s="1224">
        <v>1.5380255373116603E-2</v>
      </c>
      <c r="AB76" s="1224">
        <v>2.8386471085084519E-2</v>
      </c>
      <c r="AC76" s="1224">
        <v>3.8621627535235792E-2</v>
      </c>
      <c r="AD76" s="1224">
        <v>5.763830076906773E-2</v>
      </c>
      <c r="AE76" s="1224">
        <v>3.1056025095529183E-2</v>
      </c>
      <c r="AF76" s="1224">
        <v>4.2428414270949899E-2</v>
      </c>
      <c r="AG76" s="1224">
        <v>3.7798294206038197E-2</v>
      </c>
      <c r="AH76" s="1224">
        <v>4.8522580597207821E-2</v>
      </c>
      <c r="AI76" s="1224">
        <v>2.6168999057821329E-2</v>
      </c>
      <c r="AJ76" s="1224">
        <v>3.3680413225976702E-2</v>
      </c>
      <c r="AK76" s="1224">
        <v>7.6715324797522522E-2</v>
      </c>
      <c r="AL76" s="1224">
        <v>3.0718205104190321E-2</v>
      </c>
      <c r="AM76" s="1224">
        <v>2.5487748294322765E-2</v>
      </c>
      <c r="AN76" s="1224">
        <v>3.1092500333773643E-2</v>
      </c>
      <c r="AO76" s="1224">
        <v>5.2773360685461901E-2</v>
      </c>
      <c r="AP76" s="1224">
        <v>5.2243564325644254E-2</v>
      </c>
      <c r="AQ76" s="1224">
        <v>4.457313887232095E-2</v>
      </c>
      <c r="AR76" s="1224">
        <v>2.7948412668556299E-2</v>
      </c>
      <c r="AS76" s="1224">
        <v>8.4995413171190748E-2</v>
      </c>
    </row>
    <row r="77" spans="1:45" ht="15" x14ac:dyDescent="0.2">
      <c r="A77" s="1220">
        <v>38</v>
      </c>
      <c r="B77" s="169">
        <v>38</v>
      </c>
      <c r="C77" s="1228"/>
      <c r="D77" s="1228"/>
      <c r="E77" s="1228"/>
      <c r="F77" s="1225" t="s">
        <v>684</v>
      </c>
      <c r="G77" s="1226">
        <f t="shared" si="4"/>
        <v>1</v>
      </c>
      <c r="H77" s="1227" t="str">
        <f t="shared" si="3"/>
        <v>-</v>
      </c>
      <c r="J77" s="96" t="s">
        <v>87</v>
      </c>
      <c r="K77" s="1224">
        <v>3.8426479043112138E-2</v>
      </c>
      <c r="L77" s="1224">
        <v>9.4495407385942976E-2</v>
      </c>
      <c r="M77" s="1224">
        <v>3.0579454028226039E-2</v>
      </c>
      <c r="N77" s="1224">
        <v>1.7848747082420235E-2</v>
      </c>
      <c r="O77" s="1224">
        <v>4.8747414733104621E-2</v>
      </c>
      <c r="P77" s="1224">
        <v>5.4429896098541874E-2</v>
      </c>
      <c r="Q77" s="1224">
        <v>5.9967849784155813E-2</v>
      </c>
      <c r="R77" s="1224">
        <v>2.231299740512882E-2</v>
      </c>
      <c r="S77" s="1224">
        <v>2.2351768958830842E-2</v>
      </c>
      <c r="T77" s="1224">
        <v>2.0522808725983221E-2</v>
      </c>
      <c r="U77" s="1224">
        <v>2.3436193170866648E-2</v>
      </c>
      <c r="V77" s="1224">
        <v>2.9606865091654777E-2</v>
      </c>
      <c r="W77" s="1224">
        <v>3.2843702130303853E-2</v>
      </c>
      <c r="X77" s="1224">
        <v>7.5159612128380848E-2</v>
      </c>
      <c r="Y77" s="1224">
        <v>2.0105334390988272E-2</v>
      </c>
      <c r="Z77" s="1224">
        <v>5.2764585708193756E-2</v>
      </c>
      <c r="AA77" s="1224">
        <v>1.5775745609521108E-2</v>
      </c>
      <c r="AB77" s="1224">
        <v>2.8705184853040633E-2</v>
      </c>
      <c r="AC77" s="1224">
        <v>3.873494297222102E-2</v>
      </c>
      <c r="AD77" s="1224">
        <v>5.79967715813412E-2</v>
      </c>
      <c r="AE77" s="1224">
        <v>3.1268201369160309E-2</v>
      </c>
      <c r="AF77" s="1224">
        <v>4.2279544426468529E-2</v>
      </c>
      <c r="AG77" s="1224">
        <v>3.7958208633012358E-2</v>
      </c>
      <c r="AH77" s="1224">
        <v>4.9106890414781112E-2</v>
      </c>
      <c r="AI77" s="1224">
        <v>2.6489435293551189E-2</v>
      </c>
      <c r="AJ77" s="1224">
        <v>3.3708200079598738E-2</v>
      </c>
      <c r="AK77" s="1224">
        <v>7.6454940739244082E-2</v>
      </c>
      <c r="AL77" s="1224">
        <v>3.1113856595489153E-2</v>
      </c>
      <c r="AM77" s="1224">
        <v>2.5714306735832304E-2</v>
      </c>
      <c r="AN77" s="1224">
        <v>3.1191023710168908E-2</v>
      </c>
      <c r="AO77" s="1224">
        <v>5.3252225872828518E-2</v>
      </c>
      <c r="AP77" s="1224">
        <v>5.2551433696174099E-2</v>
      </c>
      <c r="AQ77" s="1224">
        <v>4.5133209488008141E-2</v>
      </c>
      <c r="AR77" s="1224">
        <v>2.8088277511361115E-2</v>
      </c>
      <c r="AS77" s="1224">
        <v>8.4714553897357492E-2</v>
      </c>
    </row>
    <row r="78" spans="1:45" ht="15" x14ac:dyDescent="0.2">
      <c r="A78" s="1220">
        <v>39</v>
      </c>
      <c r="B78" s="169">
        <v>39</v>
      </c>
      <c r="C78" s="1228"/>
      <c r="D78" s="1228"/>
      <c r="E78" s="1228"/>
      <c r="F78" s="1225" t="s">
        <v>684</v>
      </c>
      <c r="G78" s="1226">
        <f t="shared" si="4"/>
        <v>1</v>
      </c>
      <c r="H78" s="1227" t="str">
        <f t="shared" si="3"/>
        <v>-</v>
      </c>
      <c r="J78" s="96" t="s">
        <v>87</v>
      </c>
      <c r="K78" s="1224">
        <v>3.8481461034138409E-2</v>
      </c>
      <c r="L78" s="1224">
        <v>9.3969762863853834E-2</v>
      </c>
      <c r="M78" s="1224">
        <v>3.0681552621129704E-2</v>
      </c>
      <c r="N78" s="1224">
        <v>1.8242774967012654E-2</v>
      </c>
      <c r="O78" s="1224">
        <v>4.8672866114615854E-2</v>
      </c>
      <c r="P78" s="1224">
        <v>5.4737596825705559E-2</v>
      </c>
      <c r="Q78" s="1224">
        <v>5.9623190391850933E-2</v>
      </c>
      <c r="R78" s="1224">
        <v>2.2609385953074934E-2</v>
      </c>
      <c r="S78" s="1224">
        <v>2.2640411654957671E-2</v>
      </c>
      <c r="T78" s="1224">
        <v>2.0855722841832458E-2</v>
      </c>
      <c r="U78" s="1224">
        <v>2.3659942316999638E-2</v>
      </c>
      <c r="V78" s="1224">
        <v>2.972901418454188E-2</v>
      </c>
      <c r="W78" s="1224">
        <v>3.3117137284918829E-2</v>
      </c>
      <c r="X78" s="1224">
        <v>7.5111629067981855E-2</v>
      </c>
      <c r="Y78" s="1224">
        <v>2.0431221271099087E-2</v>
      </c>
      <c r="Z78" s="1224">
        <v>5.310754682701968E-2</v>
      </c>
      <c r="AA78" s="1224">
        <v>1.6168814531619224E-2</v>
      </c>
      <c r="AB78" s="1224">
        <v>2.9025125039056299E-2</v>
      </c>
      <c r="AC78" s="1224">
        <v>3.8849053906742093E-2</v>
      </c>
      <c r="AD78" s="1224">
        <v>5.833991549023132E-2</v>
      </c>
      <c r="AE78" s="1224">
        <v>3.1471475294093887E-2</v>
      </c>
      <c r="AF78" s="1224">
        <v>4.2132894987345848E-2</v>
      </c>
      <c r="AG78" s="1224">
        <v>3.8112772143708229E-2</v>
      </c>
      <c r="AH78" s="1224">
        <v>4.966589744225014E-2</v>
      </c>
      <c r="AI78" s="1224">
        <v>2.6798138242758673E-2</v>
      </c>
      <c r="AJ78" s="1224">
        <v>3.3734837044358645E-2</v>
      </c>
      <c r="AK78" s="1224">
        <v>7.6209223861655184E-2</v>
      </c>
      <c r="AL78" s="1224">
        <v>3.149416182138709E-2</v>
      </c>
      <c r="AM78" s="1224">
        <v>2.593129189766441E-2</v>
      </c>
      <c r="AN78" s="1224">
        <v>3.1284577010065817E-2</v>
      </c>
      <c r="AO78" s="1224">
        <v>5.3710476876894342E-2</v>
      </c>
      <c r="AP78" s="1224">
        <v>5.2845991701158113E-2</v>
      </c>
      <c r="AQ78" s="1224">
        <v>4.5668783012309477E-2</v>
      </c>
      <c r="AR78" s="1224">
        <v>2.8226189334989105E-2</v>
      </c>
      <c r="AS78" s="1224">
        <v>8.444241873524394E-2</v>
      </c>
    </row>
    <row r="79" spans="1:45" ht="15" x14ac:dyDescent="0.2">
      <c r="A79" s="1220">
        <v>40</v>
      </c>
      <c r="B79" s="169">
        <v>40</v>
      </c>
      <c r="C79" s="1228"/>
      <c r="D79" s="1228"/>
      <c r="E79" s="1228"/>
      <c r="F79" s="1225" t="s">
        <v>684</v>
      </c>
      <c r="G79" s="1226">
        <f t="shared" si="4"/>
        <v>1</v>
      </c>
      <c r="H79" s="1227" t="str">
        <f t="shared" si="3"/>
        <v>-</v>
      </c>
      <c r="J79" s="96" t="s">
        <v>87</v>
      </c>
      <c r="K79" s="1224">
        <v>3.8532609457211375E-2</v>
      </c>
      <c r="L79" s="1224">
        <v>9.346552753839199E-2</v>
      </c>
      <c r="M79" s="1224">
        <v>3.0779247062321602E-2</v>
      </c>
      <c r="N79" s="1224">
        <v>1.8622269991442231E-2</v>
      </c>
      <c r="O79" s="1224">
        <v>4.8600099445800016E-2</v>
      </c>
      <c r="P79" s="1224">
        <v>5.5032460725447763E-2</v>
      </c>
      <c r="Q79" s="1224">
        <v>5.929103824482862E-2</v>
      </c>
      <c r="R79" s="1224">
        <v>2.2893749830007248E-2</v>
      </c>
      <c r="S79" s="1224">
        <v>2.2918404106004875E-2</v>
      </c>
      <c r="T79" s="1224">
        <v>2.1176108392906068E-2</v>
      </c>
      <c r="U79" s="1224">
        <v>2.3882519138742619E-2</v>
      </c>
      <c r="V79" s="1224">
        <v>2.9846301566408551E-2</v>
      </c>
      <c r="W79" s="1224">
        <v>3.3381079491623389E-2</v>
      </c>
      <c r="X79" s="1224">
        <v>7.506429991348762E-2</v>
      </c>
      <c r="Y79" s="1224">
        <v>2.07477713393871E-2</v>
      </c>
      <c r="Z79" s="1224">
        <v>5.3436918718575255E-2</v>
      </c>
      <c r="AA79" s="1224">
        <v>1.6556895673074168E-2</v>
      </c>
      <c r="AB79" s="1224">
        <v>2.9343503744461374E-2</v>
      </c>
      <c r="AC79" s="1224">
        <v>3.8963087261338236E-2</v>
      </c>
      <c r="AD79" s="1224">
        <v>5.8668584801309764E-2</v>
      </c>
      <c r="AE79" s="1224">
        <v>3.1666342147840032E-2</v>
      </c>
      <c r="AF79" s="1224">
        <v>4.198891804881244E-2</v>
      </c>
      <c r="AG79" s="1224">
        <v>3.8262107223099751E-2</v>
      </c>
      <c r="AH79" s="1224">
        <v>5.0201000754149794E-2</v>
      </c>
      <c r="AI79" s="1224">
        <v>2.7095464116650092E-2</v>
      </c>
      <c r="AJ79" s="1224">
        <v>3.3760399378886641E-2</v>
      </c>
      <c r="AK79" s="1224">
        <v>7.5976974837747679E-2</v>
      </c>
      <c r="AL79" s="1224">
        <v>3.1859718001150172E-2</v>
      </c>
      <c r="AM79" s="1224">
        <v>2.6139241699667526E-2</v>
      </c>
      <c r="AN79" s="1224">
        <v>3.1373531041249958E-2</v>
      </c>
      <c r="AO79" s="1224">
        <v>5.4149252362760247E-2</v>
      </c>
      <c r="AP79" s="1224">
        <v>5.3128009105752438E-2</v>
      </c>
      <c r="AQ79" s="1224">
        <v>4.6181256005987104E-2</v>
      </c>
      <c r="AR79" s="1224">
        <v>2.8361688496697957E-2</v>
      </c>
      <c r="AS79" s="1224">
        <v>8.4179008401692901E-2</v>
      </c>
    </row>
    <row r="80" spans="1:45" ht="15" x14ac:dyDescent="0.2">
      <c r="A80" s="1220">
        <v>41</v>
      </c>
      <c r="B80" s="169">
        <v>41</v>
      </c>
      <c r="C80" s="1228"/>
      <c r="D80" s="1228"/>
      <c r="E80" s="1228"/>
      <c r="F80" s="1225" t="s">
        <v>684</v>
      </c>
      <c r="G80" s="1226">
        <f t="shared" si="4"/>
        <v>1</v>
      </c>
      <c r="H80" s="1227" t="str">
        <f t="shared" si="3"/>
        <v>-</v>
      </c>
      <c r="J80" s="96" t="s">
        <v>87</v>
      </c>
      <c r="K80" s="1224">
        <v>3.8580284640323814E-2</v>
      </c>
      <c r="L80" s="1224">
        <v>9.2981712911827108E-2</v>
      </c>
      <c r="M80" s="1224">
        <v>3.0872815446652213E-2</v>
      </c>
      <c r="N80" s="1224">
        <v>1.8987685385445374E-2</v>
      </c>
      <c r="O80" s="1224">
        <v>4.8529158513232362E-2</v>
      </c>
      <c r="P80" s="1224">
        <v>5.5315182172602118E-2</v>
      </c>
      <c r="Q80" s="1224">
        <v>5.8971028040327722E-2</v>
      </c>
      <c r="R80" s="1224">
        <v>2.3166689718285838E-2</v>
      </c>
      <c r="S80" s="1224">
        <v>2.3186112066116094E-2</v>
      </c>
      <c r="T80" s="1224">
        <v>2.1484423014761056E-2</v>
      </c>
      <c r="U80" s="1224">
        <v>2.4102596131338361E-2</v>
      </c>
      <c r="V80" s="1224">
        <v>2.9958985554003004E-2</v>
      </c>
      <c r="W80" s="1224">
        <v>3.3635753837763849E-2</v>
      </c>
      <c r="X80" s="1224">
        <v>7.5017726412097918E-2</v>
      </c>
      <c r="Y80" s="1224">
        <v>2.1054774078822502E-2</v>
      </c>
      <c r="Z80" s="1224">
        <v>5.3753318665948679E-2</v>
      </c>
      <c r="AA80" s="1224">
        <v>1.6938111827309088E-2</v>
      </c>
      <c r="AB80" s="1224">
        <v>2.9658233714674465E-2</v>
      </c>
      <c r="AC80" s="1224">
        <v>3.9076357545534401E-2</v>
      </c>
      <c r="AD80" s="1224">
        <v>5.8983578236388112E-2</v>
      </c>
      <c r="AE80" s="1224">
        <v>3.1853264171466611E-2</v>
      </c>
      <c r="AF80" s="1224">
        <v>4.1847952416016021E-2</v>
      </c>
      <c r="AG80" s="1224">
        <v>3.8406352160815116E-2</v>
      </c>
      <c r="AH80" s="1224">
        <v>5.0713518036483496E-2</v>
      </c>
      <c r="AI80" s="1224">
        <v>2.7381794135241222E-2</v>
      </c>
      <c r="AJ80" s="1224">
        <v>3.3784955443824538E-2</v>
      </c>
      <c r="AK80" s="1224">
        <v>7.5757119069576051E-2</v>
      </c>
      <c r="AL80" s="1224">
        <v>3.2211127733672074E-2</v>
      </c>
      <c r="AM80" s="1224">
        <v>2.6338657722658088E-2</v>
      </c>
      <c r="AN80" s="1224">
        <v>3.1458220517796676E-2</v>
      </c>
      <c r="AO80" s="1224">
        <v>5.4569623190672711E-2</v>
      </c>
      <c r="AP80" s="1224">
        <v>5.3398202828360164E-2</v>
      </c>
      <c r="AQ80" s="1224">
        <v>4.6671936242628664E-2</v>
      </c>
      <c r="AR80" s="1224">
        <v>2.8494432057616592E-2</v>
      </c>
      <c r="AS80" s="1224">
        <v>8.3924249742546753E-2</v>
      </c>
    </row>
    <row r="81" spans="1:45" ht="15" x14ac:dyDescent="0.2">
      <c r="A81" s="1220">
        <v>42</v>
      </c>
      <c r="B81" s="169">
        <v>42</v>
      </c>
      <c r="C81" s="1228"/>
      <c r="D81" s="1228"/>
      <c r="E81" s="1228"/>
      <c r="F81" s="1225" t="s">
        <v>684</v>
      </c>
      <c r="G81" s="1226">
        <f t="shared" si="4"/>
        <v>1</v>
      </c>
      <c r="H81" s="1227" t="str">
        <f t="shared" si="3"/>
        <v>-</v>
      </c>
      <c r="J81" s="96" t="s">
        <v>87</v>
      </c>
      <c r="K81" s="1224">
        <v>3.8624806796720756E-2</v>
      </c>
      <c r="L81" s="1224">
        <v>9.2517358117035764E-2</v>
      </c>
      <c r="M81" s="1224">
        <v>3.0962512204653958E-2</v>
      </c>
      <c r="N81" s="1224">
        <v>1.9339505120740119E-2</v>
      </c>
      <c r="O81" s="1224">
        <v>4.8460067544881191E-2</v>
      </c>
      <c r="P81" s="1224">
        <v>5.5586413433788451E-2</v>
      </c>
      <c r="Q81" s="1224">
        <v>5.866276677421256E-2</v>
      </c>
      <c r="R81" s="1224">
        <v>2.3428777555796421E-2</v>
      </c>
      <c r="S81" s="1224">
        <v>2.3443912635602526E-2</v>
      </c>
      <c r="T81" s="1224">
        <v>2.1781133130936547E-2</v>
      </c>
      <c r="U81" s="1224">
        <v>2.4319176948603971E-2</v>
      </c>
      <c r="V81" s="1224">
        <v>3.0067307583181435E-2</v>
      </c>
      <c r="W81" s="1224">
        <v>3.3881417842383632E-2</v>
      </c>
      <c r="X81" s="1224">
        <v>7.4971987958292852E-2</v>
      </c>
      <c r="Y81" s="1224">
        <v>2.1352156751066387E-2</v>
      </c>
      <c r="Z81" s="1224">
        <v>5.4057346011033847E-2</v>
      </c>
      <c r="AA81" s="1224">
        <v>1.7311118896889299E-2</v>
      </c>
      <c r="AB81" s="1224">
        <v>2.9967772938104043E-2</v>
      </c>
      <c r="AC81" s="1224">
        <v>3.9188331137582244E-2</v>
      </c>
      <c r="AD81" s="1224">
        <v>5.9285644283767924E-2</v>
      </c>
      <c r="AE81" s="1224">
        <v>3.2032673112598387E-2</v>
      </c>
      <c r="AF81" s="1224">
        <v>4.1710244511409256E-2</v>
      </c>
      <c r="AG81" s="1224">
        <v>3.8545656328936806E-2</v>
      </c>
      <c r="AH81" s="1224">
        <v>5.1204688968301104E-2</v>
      </c>
      <c r="AI81" s="1224">
        <v>2.7657524500223518E-2</v>
      </c>
      <c r="AJ81" s="1224">
        <v>3.3808567504556741E-2</v>
      </c>
      <c r="AK81" s="1224">
        <v>7.5548691209822438E-2</v>
      </c>
      <c r="AL81" s="1224">
        <v>3.2548990787140353E-2</v>
      </c>
      <c r="AM81" s="1224">
        <v>2.6530008049787446E-2</v>
      </c>
      <c r="AN81" s="1224">
        <v>3.1538948349752349E-2</v>
      </c>
      <c r="AO81" s="1224">
        <v>5.4972595737754926E-2</v>
      </c>
      <c r="AP81" s="1224">
        <v>5.3657240292154906E-2</v>
      </c>
      <c r="AQ81" s="1224">
        <v>4.7142047989981561E-2</v>
      </c>
      <c r="AR81" s="1224">
        <v>2.8624171070167792E-2</v>
      </c>
      <c r="AS81" s="1224">
        <v>8.3678012503469734E-2</v>
      </c>
    </row>
    <row r="82" spans="1:45" ht="15" x14ac:dyDescent="0.2">
      <c r="A82" s="1220">
        <v>43</v>
      </c>
      <c r="B82" s="169">
        <v>43</v>
      </c>
      <c r="C82" s="1228"/>
      <c r="D82" s="1228"/>
      <c r="E82" s="1228"/>
      <c r="F82" s="1225" t="s">
        <v>684</v>
      </c>
      <c r="G82" s="1226">
        <f t="shared" si="4"/>
        <v>1</v>
      </c>
      <c r="H82" s="1227" t="str">
        <f t="shared" si="3"/>
        <v>-</v>
      </c>
      <c r="J82" s="96" t="s">
        <v>87</v>
      </c>
      <c r="K82" s="1224">
        <v>3.8666461098880722E-2</v>
      </c>
      <c r="L82" s="1224">
        <v>9.207153407181945E-2</v>
      </c>
      <c r="M82" s="1224">
        <v>3.1048570669761411E-2</v>
      </c>
      <c r="N82" s="1224">
        <v>1.9678231080833886E-2</v>
      </c>
      <c r="O82" s="1224">
        <v>4.8392834809136254E-2</v>
      </c>
      <c r="P82" s="1224">
        <v>5.5846767144674514E-2</v>
      </c>
      <c r="Q82" s="1224">
        <v>5.8365843810544327E-2</v>
      </c>
      <c r="R82" s="1224">
        <v>2.3680556897026861E-2</v>
      </c>
      <c r="S82" s="1224">
        <v>2.3692187630663719E-2</v>
      </c>
      <c r="T82" s="1224">
        <v>2.206670677144551E-2</v>
      </c>
      <c r="U82" s="1224">
        <v>2.4531526984265639E-2</v>
      </c>
      <c r="V82" s="1224">
        <v>3.0171493546543582E-2</v>
      </c>
      <c r="W82" s="1224">
        <v>3.4118351314963657E-2</v>
      </c>
      <c r="X82" s="1224">
        <v>7.4927145238098403E-2</v>
      </c>
      <c r="Y82" s="1224">
        <v>2.1639952289380204E-2</v>
      </c>
      <c r="Z82" s="1224">
        <v>5.4349579685837535E-2</v>
      </c>
      <c r="AA82" s="1224">
        <v>1.7674985125934795E-2</v>
      </c>
      <c r="AB82" s="1224">
        <v>3.027100405787575E-2</v>
      </c>
      <c r="AC82" s="1224">
        <v>3.9298597411106417E-2</v>
      </c>
      <c r="AD82" s="1224">
        <v>5.9575484406144907E-2</v>
      </c>
      <c r="AE82" s="1224">
        <v>3.2204972545506694E-2</v>
      </c>
      <c r="AF82" s="1224">
        <v>4.1575965639310208E-2</v>
      </c>
      <c r="AG82" s="1224">
        <v>3.8680176423567136E-2</v>
      </c>
      <c r="AH82" s="1224">
        <v>5.1675678892489918E-2</v>
      </c>
      <c r="AI82" s="1224">
        <v>2.7923058645053178E-2</v>
      </c>
      <c r="AJ82" s="1224">
        <v>3.3831292422746628E-2</v>
      </c>
      <c r="AK82" s="1224">
        <v>7.535082189894049E-2</v>
      </c>
      <c r="AL82" s="1224">
        <v>3.2873897985381539E-2</v>
      </c>
      <c r="AM82" s="1224">
        <v>2.6713729854031643E-2</v>
      </c>
      <c r="AN82" s="1224">
        <v>3.1615989335140204E-2</v>
      </c>
      <c r="AO82" s="1224">
        <v>5.5359115304393969E-2</v>
      </c>
      <c r="AP82" s="1224">
        <v>5.3905743377038684E-2</v>
      </c>
      <c r="AQ82" s="1224">
        <v>4.7592737174631639E-2</v>
      </c>
      <c r="AR82" s="1224">
        <v>2.8750732180987226E-2</v>
      </c>
      <c r="AS82" s="1224">
        <v>8.3440122972900266E-2</v>
      </c>
    </row>
    <row r="83" spans="1:45" ht="15" x14ac:dyDescent="0.2">
      <c r="A83" s="1220">
        <v>44</v>
      </c>
      <c r="B83" s="169">
        <v>44</v>
      </c>
      <c r="C83" s="1228"/>
      <c r="D83" s="1228"/>
      <c r="E83" s="1228"/>
      <c r="F83" s="1225" t="s">
        <v>684</v>
      </c>
      <c r="G83" s="1226">
        <f t="shared" si="4"/>
        <v>1</v>
      </c>
      <c r="H83" s="1227" t="str">
        <f t="shared" si="3"/>
        <v>-</v>
      </c>
      <c r="J83" s="96" t="s">
        <v>87</v>
      </c>
      <c r="K83" s="1224">
        <v>3.8705502033413497E-2</v>
      </c>
      <c r="L83" s="1224">
        <v>9.1643346309445928E-2</v>
      </c>
      <c r="M83" s="1224">
        <v>3.1131205308039478E-2</v>
      </c>
      <c r="N83" s="1224">
        <v>2.0004373202638703E-2</v>
      </c>
      <c r="O83" s="1224">
        <v>4.8327455615136072E-2</v>
      </c>
      <c r="P83" s="1224">
        <v>5.6096818703579521E-2</v>
      </c>
      <c r="Q83" s="1224">
        <v>5.8079838881956114E-2</v>
      </c>
      <c r="R83" s="1224">
        <v>2.3922543551167186E-2</v>
      </c>
      <c r="S83" s="1224">
        <v>2.3931318498200627E-2</v>
      </c>
      <c r="T83" s="1224">
        <v>2.2341608131670077E-2</v>
      </c>
      <c r="U83" s="1224">
        <v>2.4739118404478733E-2</v>
      </c>
      <c r="V83" s="1224">
        <v>3.0271755001232137E-2</v>
      </c>
      <c r="W83" s="1224">
        <v>3.4346848388776774E-2</v>
      </c>
      <c r="X83" s="1224">
        <v>7.488324329468754E-2</v>
      </c>
      <c r="Y83" s="1224">
        <v>2.1918273900609631E-2</v>
      </c>
      <c r="Z83" s="1224">
        <v>5.4630576612559656E-2</v>
      </c>
      <c r="AA83" s="1224">
        <v>1.8029097301387909E-2</v>
      </c>
      <c r="AB83" s="1224">
        <v>3.0567140386300595E-2</v>
      </c>
      <c r="AC83" s="1224">
        <v>3.9406845334163387E-2</v>
      </c>
      <c r="AD83" s="1224">
        <v>5.9853756091233778E-2</v>
      </c>
      <c r="AE83" s="1224">
        <v>3.2370539990337122E-2</v>
      </c>
      <c r="AF83" s="1224">
        <v>4.1445226241947575E-2</v>
      </c>
      <c r="AG83" s="1224">
        <v>3.8810073481553298E-2</v>
      </c>
      <c r="AH83" s="1224">
        <v>5.2127582630247415E-2</v>
      </c>
      <c r="AI83" s="1224">
        <v>2.8178801281065091E-2</v>
      </c>
      <c r="AJ83" s="1224">
        <v>3.3853182254322434E-2</v>
      </c>
      <c r="AK83" s="1224">
        <v>7.5162726359750742E-2</v>
      </c>
      <c r="AL83" s="1224">
        <v>3.3186426727371821E-2</v>
      </c>
      <c r="AM83" s="1224">
        <v>2.6890231757508154E-2</v>
      </c>
      <c r="AN83" s="1224">
        <v>3.1689593349303991E-2</v>
      </c>
      <c r="AO83" s="1224">
        <v>5.5730069523447723E-2</v>
      </c>
      <c r="AP83" s="1224">
        <v>5.4144292013113438E-2</v>
      </c>
      <c r="AQ83" s="1224">
        <v>4.8025076369889286E-2</v>
      </c>
      <c r="AR83" s="1224">
        <v>2.8874002700194357E-2</v>
      </c>
      <c r="AS83" s="1224">
        <v>8.3210375055476904E-2</v>
      </c>
    </row>
    <row r="84" spans="1:45" ht="15" x14ac:dyDescent="0.2">
      <c r="A84" s="1220">
        <v>45</v>
      </c>
      <c r="B84" s="169">
        <v>45</v>
      </c>
      <c r="C84" s="1228"/>
      <c r="D84" s="1228"/>
      <c r="E84" s="1228"/>
      <c r="F84" s="1225" t="s">
        <v>684</v>
      </c>
      <c r="G84" s="1226">
        <f t="shared" si="4"/>
        <v>1</v>
      </c>
      <c r="H84" s="1227" t="str">
        <f t="shared" si="3"/>
        <v>-</v>
      </c>
      <c r="J84" s="96" t="s">
        <v>87</v>
      </c>
      <c r="K84" s="1224">
        <v>3.8742157150328582E-2</v>
      </c>
      <c r="L84" s="1224">
        <v>9.1231936755874266E-2</v>
      </c>
      <c r="M84" s="1224">
        <v>3.1210613661990072E-2</v>
      </c>
      <c r="N84" s="1224">
        <v>2.0318441952504207E-2</v>
      </c>
      <c r="O84" s="1224">
        <v>4.8263914815226405E-2</v>
      </c>
      <c r="P84" s="1224">
        <v>5.6337108565866378E-2</v>
      </c>
      <c r="Q84" s="1224">
        <v>5.7804328401065641E-2</v>
      </c>
      <c r="R84" s="1224">
        <v>2.4155226415847997E-2</v>
      </c>
      <c r="S84" s="1224">
        <v>2.416168245190975E-2</v>
      </c>
      <c r="T84" s="1224">
        <v>2.2606293499341623E-2</v>
      </c>
      <c r="U84" s="1224">
        <v>2.4941586499724222E-2</v>
      </c>
      <c r="V84" s="1224">
        <v>3.0368290262385189E-2</v>
      </c>
      <c r="W84" s="1224">
        <v>3.4567211284203037E-2</v>
      </c>
      <c r="X84" s="1224">
        <v>7.484031411092773E-2</v>
      </c>
      <c r="Y84" s="1224">
        <v>2.218729496387839E-2</v>
      </c>
      <c r="Z84" s="1224">
        <v>5.4900870770392185E-2</v>
      </c>
      <c r="AA84" s="1224">
        <v>1.837308765043999E-2</v>
      </c>
      <c r="AB84" s="1224">
        <v>3.0855652386552634E-2</v>
      </c>
      <c r="AC84" s="1224">
        <v>3.9512844460812824E-2</v>
      </c>
      <c r="AD84" s="1224">
        <v>6.0121075737654905E-2</v>
      </c>
      <c r="AE84" s="1224">
        <v>3.2529728851105721E-2</v>
      </c>
      <c r="AF84" s="1224">
        <v>4.1318087668407388E-2</v>
      </c>
      <c r="AG84" s="1224">
        <v>3.8935510521826533E-2</v>
      </c>
      <c r="AH84" s="1224">
        <v>5.2561428334089166E-2</v>
      </c>
      <c r="AI84" s="1224">
        <v>2.8425153861981967E-2</v>
      </c>
      <c r="AJ84" s="1224">
        <v>3.3874284768434126E-2</v>
      </c>
      <c r="AK84" s="1224">
        <v>7.4983694555711189E-2</v>
      </c>
      <c r="AL84" s="1224">
        <v>3.3487137778674958E-2</v>
      </c>
      <c r="AM84" s="1224">
        <v>2.7059895985435789E-2</v>
      </c>
      <c r="AN84" s="1224">
        <v>3.175998810961822E-2</v>
      </c>
      <c r="AO84" s="1224">
        <v>5.6086291714484204E-2</v>
      </c>
      <c r="AP84" s="1224">
        <v>5.4373427452145684E-2</v>
      </c>
      <c r="AQ84" s="1224">
        <v>4.844006956855984E-2</v>
      </c>
      <c r="AR84" s="1224">
        <v>2.899391846470678E-2</v>
      </c>
      <c r="AS84" s="1224">
        <v>8.298853923454641E-2</v>
      </c>
    </row>
    <row r="85" spans="1:45" ht="15" x14ac:dyDescent="0.2">
      <c r="A85" s="1220">
        <v>46</v>
      </c>
      <c r="B85" s="169">
        <v>46</v>
      </c>
      <c r="C85" s="1228"/>
      <c r="D85" s="1228"/>
      <c r="E85" s="1228"/>
      <c r="F85" s="1225" t="s">
        <v>684</v>
      </c>
      <c r="G85" s="1226">
        <f t="shared" si="4"/>
        <v>1</v>
      </c>
      <c r="H85" s="1227" t="str">
        <f t="shared" si="3"/>
        <v>-</v>
      </c>
      <c r="J85" s="96" t="s">
        <v>87</v>
      </c>
      <c r="K85" s="1224">
        <v>3.8776630300217496E-2</v>
      </c>
      <c r="L85" s="1224">
        <v>9.083648467479577E-2</v>
      </c>
      <c r="M85" s="1224">
        <v>3.1286978051124459E-2</v>
      </c>
      <c r="N85" s="1224">
        <v>2.062094263814318E-2</v>
      </c>
      <c r="O85" s="1224">
        <v>4.820218889249217E-2</v>
      </c>
      <c r="P85" s="1224">
        <v>5.656814442979119E-2</v>
      </c>
      <c r="Q85" s="1224">
        <v>5.7538890395139042E-2</v>
      </c>
      <c r="R85" s="1224">
        <v>2.437906844424953E-2</v>
      </c>
      <c r="S85" s="1224">
        <v>2.4383649574255317E-2</v>
      </c>
      <c r="T85" s="1224">
        <v>2.2861208257116017E-2</v>
      </c>
      <c r="U85" s="1224">
        <v>2.5138694945127105E-2</v>
      </c>
      <c r="V85" s="1224">
        <v>3.0461285395510629E-2</v>
      </c>
      <c r="W85" s="1224">
        <v>3.4779745450618016E-2</v>
      </c>
      <c r="X85" s="1224">
        <v>7.4798378787637398E-2</v>
      </c>
      <c r="Y85" s="1224">
        <v>2.2447233124629706E-2</v>
      </c>
      <c r="Z85" s="1224">
        <v>5.5160972771441497E-2</v>
      </c>
      <c r="AA85" s="1224">
        <v>1.8706776715722295E-2</v>
      </c>
      <c r="AB85" s="1224">
        <v>3.1136209995603625E-2</v>
      </c>
      <c r="AC85" s="1224">
        <v>3.9616429461170055E-2</v>
      </c>
      <c r="AD85" s="1224">
        <v>6.0378021373945101E-2</v>
      </c>
      <c r="AE85" s="1224">
        <v>3.2682870189967073E-2</v>
      </c>
      <c r="AF85" s="1224">
        <v>4.1194571885817988E-2</v>
      </c>
      <c r="AG85" s="1224">
        <v>3.9056650690776573E-2</v>
      </c>
      <c r="AH85" s="1224">
        <v>5.2978181304345284E-2</v>
      </c>
      <c r="AI85" s="1224">
        <v>2.8662511169412541E-2</v>
      </c>
      <c r="AJ85" s="1224">
        <v>3.3894643899361698E-2</v>
      </c>
      <c r="AK85" s="1224">
        <v>7.481308267074871E-2</v>
      </c>
      <c r="AL85" s="1224">
        <v>3.3776573052400893E-2</v>
      </c>
      <c r="AM85" s="1224">
        <v>2.7223080334996208E-2</v>
      </c>
      <c r="AN85" s="1224">
        <v>3.1827381580126657E-2</v>
      </c>
      <c r="AO85" s="1224">
        <v>5.6428564143106819E-2</v>
      </c>
      <c r="AP85" s="1224">
        <v>5.4593655249425943E-2</v>
      </c>
      <c r="AQ85" s="1224">
        <v>4.8838656718038331E-2</v>
      </c>
      <c r="AR85" s="1224">
        <v>2.911045396084222E-2</v>
      </c>
      <c r="AS85" s="1224">
        <v>8.2774369800850733E-2</v>
      </c>
    </row>
    <row r="86" spans="1:45" ht="15" x14ac:dyDescent="0.2">
      <c r="A86" s="1220">
        <v>47</v>
      </c>
      <c r="B86" s="169">
        <v>47</v>
      </c>
      <c r="C86" s="1228"/>
      <c r="D86" s="1228"/>
      <c r="E86" s="1228"/>
      <c r="F86" s="1225" t="s">
        <v>684</v>
      </c>
      <c r="G86" s="1226">
        <f t="shared" si="4"/>
        <v>1</v>
      </c>
      <c r="H86" s="1227" t="str">
        <f t="shared" si="3"/>
        <v>-</v>
      </c>
      <c r="J86" s="96" t="s">
        <v>87</v>
      </c>
      <c r="K86" s="1224">
        <v>3.8809104437011799E-2</v>
      </c>
      <c r="L86" s="1224">
        <v>9.0456206960947805E-2</v>
      </c>
      <c r="M86" s="1224">
        <v>3.1360467064778241E-2</v>
      </c>
      <c r="N86" s="1224">
        <v>2.0912371165120014E-2</v>
      </c>
      <c r="O86" s="1224">
        <v>4.8142247701826735E-2</v>
      </c>
      <c r="P86" s="1224">
        <v>5.6790403309056492E-2</v>
      </c>
      <c r="Q86" s="1224">
        <v>5.7283108320431486E-2</v>
      </c>
      <c r="R86" s="1224">
        <v>2.4594507698050938E-2</v>
      </c>
      <c r="S86" s="1224">
        <v>2.4597580682219844E-2</v>
      </c>
      <c r="T86" s="1224">
        <v>2.3106784730287488E-2</v>
      </c>
      <c r="U86" s="1224">
        <v>2.5330308101395804E-2</v>
      </c>
      <c r="V86" s="1224">
        <v>3.0550915119180511E-2</v>
      </c>
      <c r="W86" s="1224">
        <v>3.4984755808142864E-2</v>
      </c>
      <c r="X86" s="1224">
        <v>7.4757449382629737E-2</v>
      </c>
      <c r="Y86" s="1224">
        <v>2.2698337721014372E-2</v>
      </c>
      <c r="Z86" s="1224">
        <v>5.5411369822687906E-2</v>
      </c>
      <c r="AA86" s="1224">
        <v>1.9030128630231458E-2</v>
      </c>
      <c r="AB86" s="1224">
        <v>3.1408637272643425E-2</v>
      </c>
      <c r="AC86" s="1224">
        <v>3.9717487511382155E-2</v>
      </c>
      <c r="AD86" s="1224">
        <v>6.062513521226065E-2</v>
      </c>
      <c r="AE86" s="1224">
        <v>3.2830274353374378E-2</v>
      </c>
      <c r="AF86" s="1224">
        <v>4.1074669486835358E-2</v>
      </c>
      <c r="AG86" s="1224">
        <v>3.9173655814776609E-2</v>
      </c>
      <c r="AH86" s="1224">
        <v>5.3378747716524622E-2</v>
      </c>
      <c r="AI86" s="1224">
        <v>2.8891258784313978E-2</v>
      </c>
      <c r="AJ86" s="1224">
        <v>3.3914300141349996E-2</v>
      </c>
      <c r="AK86" s="1224">
        <v>7.4650305710227682E-2</v>
      </c>
      <c r="AL86" s="1224">
        <v>3.4055254158286807E-2</v>
      </c>
      <c r="AM86" s="1224">
        <v>2.7380119977120865E-2</v>
      </c>
      <c r="AN86" s="1224">
        <v>3.1891964069623135E-2</v>
      </c>
      <c r="AO86" s="1224">
        <v>5.6757621158647575E-2</v>
      </c>
      <c r="AP86" s="1224">
        <v>5.4805447984828781E-2</v>
      </c>
      <c r="AQ86" s="1224">
        <v>4.9221718006498882E-2</v>
      </c>
      <c r="AR86" s="1224">
        <v>2.9223614279067611E-2</v>
      </c>
      <c r="AS86" s="1224">
        <v>8.2567610657722668E-2</v>
      </c>
    </row>
    <row r="87" spans="1:45" ht="15" x14ac:dyDescent="0.2">
      <c r="A87" s="1220">
        <v>48</v>
      </c>
      <c r="B87" s="169">
        <v>48</v>
      </c>
      <c r="C87" s="1228"/>
      <c r="D87" s="1228"/>
      <c r="E87" s="1228"/>
      <c r="F87" s="1225" t="s">
        <v>684</v>
      </c>
      <c r="G87" s="1226">
        <f t="shared" si="4"/>
        <v>1</v>
      </c>
      <c r="H87" s="1227" t="str">
        <f t="shared" si="3"/>
        <v>-</v>
      </c>
      <c r="J87" s="96" t="s">
        <v>87</v>
      </c>
      <c r="K87" s="1224">
        <v>3.8839744050976677E-2</v>
      </c>
      <c r="L87" s="1224">
        <v>9.0090357928532816E-2</v>
      </c>
      <c r="M87" s="1224">
        <v>3.1431236876801716E-2</v>
      </c>
      <c r="N87" s="1224">
        <v>2.119321092972859E-2</v>
      </c>
      <c r="O87" s="1224">
        <v>4.8084055921224556E-2</v>
      </c>
      <c r="P87" s="1224">
        <v>5.7004333490617842E-2</v>
      </c>
      <c r="Q87" s="1224">
        <v>5.7036573966789739E-2</v>
      </c>
      <c r="R87" s="1224">
        <v>2.4801958450069606E-2</v>
      </c>
      <c r="S87" s="1224">
        <v>2.4803825796496426E-2</v>
      </c>
      <c r="T87" s="1224">
        <v>2.3343440697559004E-2</v>
      </c>
      <c r="U87" s="1224">
        <v>2.5516368901018271E-2</v>
      </c>
      <c r="V87" s="1224">
        <v>3.0637343627901936E-2</v>
      </c>
      <c r="W87" s="1224">
        <v>3.5182543867486205E-2</v>
      </c>
      <c r="X87" s="1224">
        <v>7.4717530464530002E-2</v>
      </c>
      <c r="Y87" s="1224">
        <v>2.294087986334592E-2</v>
      </c>
      <c r="Z87" s="1224">
        <v>5.5652525977712974E-2</v>
      </c>
      <c r="AA87" s="1224">
        <v>1.9343216058873791E-2</v>
      </c>
      <c r="AB87" s="1224">
        <v>3.167287668162122E-2</v>
      </c>
      <c r="AC87" s="1224">
        <v>3.9815948002011048E-2</v>
      </c>
      <c r="AD87" s="1224">
        <v>6.0862926040925025E-2</v>
      </c>
      <c r="AE87" s="1224">
        <v>3.2972232464087536E-2</v>
      </c>
      <c r="AF87" s="1224">
        <v>4.0958346285803637E-2</v>
      </c>
      <c r="AG87" s="1224">
        <v>3.928668528175927E-2</v>
      </c>
      <c r="AH87" s="1224">
        <v>5.3763978223619224E-2</v>
      </c>
      <c r="AI87" s="1224">
        <v>2.9111771258204522E-2</v>
      </c>
      <c r="AJ87" s="1224">
        <v>3.3933290894641699E-2</v>
      </c>
      <c r="AK87" s="1224">
        <v>7.449483105642285E-2</v>
      </c>
      <c r="AL87" s="1224">
        <v>3.4323681545954887E-2</v>
      </c>
      <c r="AM87" s="1224">
        <v>2.7531329107262081E-2</v>
      </c>
      <c r="AN87" s="1224">
        <v>3.1953910067875402E-2</v>
      </c>
      <c r="AO87" s="1224">
        <v>5.7074152193296701E-2</v>
      </c>
      <c r="AP87" s="1224">
        <v>5.5009247748721846E-2</v>
      </c>
      <c r="AQ87" s="1224">
        <v>4.9590077896996432E-2</v>
      </c>
      <c r="AR87" s="1224">
        <v>2.9333428558314001E-2</v>
      </c>
      <c r="AS87" s="1224">
        <v>8.2367999958338878E-2</v>
      </c>
    </row>
    <row r="88" spans="1:45" ht="15" x14ac:dyDescent="0.2">
      <c r="A88" s="1220">
        <v>49</v>
      </c>
      <c r="B88" s="169">
        <v>49</v>
      </c>
      <c r="C88" s="1228"/>
      <c r="D88" s="1228"/>
      <c r="E88" s="1228"/>
      <c r="F88" s="1225" t="s">
        <v>684</v>
      </c>
      <c r="G88" s="1226">
        <f t="shared" si="4"/>
        <v>1</v>
      </c>
      <c r="H88" s="1227" t="str">
        <f t="shared" si="3"/>
        <v>-</v>
      </c>
      <c r="J88" s="96" t="s">
        <v>87</v>
      </c>
      <c r="K88" s="1224">
        <v>3.8868697285953546E-2</v>
      </c>
      <c r="L88" s="1224">
        <v>8.973822871392878E-2</v>
      </c>
      <c r="M88" s="1224">
        <v>3.1499432406975281E-2</v>
      </c>
      <c r="N88" s="1224">
        <v>2.14639306048936E-2</v>
      </c>
      <c r="O88" s="1224">
        <v>4.8027574260348205E-2</v>
      </c>
      <c r="P88" s="1224">
        <v>5.7210356378630367E-2</v>
      </c>
      <c r="Q88" s="1224">
        <v>5.6798889625447435E-2</v>
      </c>
      <c r="R88" s="1224">
        <v>2.5001812309239924E-2</v>
      </c>
      <c r="S88" s="1224">
        <v>2.5002723086593903E-2</v>
      </c>
      <c r="T88" s="1224">
        <v>2.3571578420685357E-2</v>
      </c>
      <c r="U88" s="1224">
        <v>2.5696881179745557E-2</v>
      </c>
      <c r="V88" s="1224">
        <v>3.0720725343713173E-2</v>
      </c>
      <c r="W88" s="1224">
        <v>3.5373405550893411E-2</v>
      </c>
      <c r="X88" s="1224">
        <v>7.4678620426271936E-2</v>
      </c>
      <c r="Y88" s="1224">
        <v>2.3175144629810296E-2</v>
      </c>
      <c r="Z88" s="1224">
        <v>5.5884882602909025E-2</v>
      </c>
      <c r="AA88" s="1224">
        <v>1.9646192705247811E-2</v>
      </c>
      <c r="AB88" s="1224">
        <v>3.1928960934235917E-2</v>
      </c>
      <c r="AC88" s="1224">
        <v>3.9911774130914068E-2</v>
      </c>
      <c r="AD88" s="1224">
        <v>6.1091871461654623E-2</v>
      </c>
      <c r="AE88" s="1224">
        <v>3.3109017791513873E-2</v>
      </c>
      <c r="AF88" s="1224">
        <v>4.0845548745317872E-2</v>
      </c>
      <c r="AG88" s="1224">
        <v>3.9395895188746755E-2</v>
      </c>
      <c r="AH88" s="1224">
        <v>5.4134671409844737E-2</v>
      </c>
      <c r="AI88" s="1224">
        <v>2.9324410836195414E-2</v>
      </c>
      <c r="AJ88" s="1224">
        <v>3.3951650769672881E-2</v>
      </c>
      <c r="AK88" s="1224">
        <v>7.4346172839429236E-2</v>
      </c>
      <c r="AL88" s="1224">
        <v>3.4582334105441648E-2</v>
      </c>
      <c r="AM88" s="1224">
        <v>2.7677002459464362E-2</v>
      </c>
      <c r="AN88" s="1224">
        <v>3.201337985726993E-2</v>
      </c>
      <c r="AO88" s="1224">
        <v>5.737880461293976E-2</v>
      </c>
      <c r="AP88" s="1224">
        <v>5.5205468415552517E-2</v>
      </c>
      <c r="AQ88" s="1224">
        <v>4.9944508911969221E-2</v>
      </c>
      <c r="AR88" s="1224">
        <v>2.9439944644117366E-2</v>
      </c>
      <c r="AS88" s="1224">
        <v>8.217527378557854E-2</v>
      </c>
    </row>
    <row r="89" spans="1:45" ht="15" x14ac:dyDescent="0.2">
      <c r="A89" s="1220">
        <v>50</v>
      </c>
      <c r="B89" s="169">
        <v>50</v>
      </c>
      <c r="C89" s="1228"/>
      <c r="D89" s="1228"/>
      <c r="E89" s="1228"/>
      <c r="F89" s="1225" t="s">
        <v>684</v>
      </c>
      <c r="G89" s="1226">
        <f t="shared" si="4"/>
        <v>1</v>
      </c>
      <c r="H89" s="1227" t="str">
        <f t="shared" si="3"/>
        <v>-</v>
      </c>
      <c r="J89" s="96" t="s">
        <v>87</v>
      </c>
      <c r="K89" s="1224">
        <v>3.8896097786210948E-2</v>
      </c>
      <c r="L89" s="1224">
        <v>8.9399146389087081E-2</v>
      </c>
      <c r="M89" s="1224">
        <v>3.1565188350055617E-2</v>
      </c>
      <c r="N89" s="1224">
        <v>2.1724982626457834E-2</v>
      </c>
      <c r="O89" s="1224">
        <v>4.7972760465546216E-2</v>
      </c>
      <c r="P89" s="1224">
        <v>5.7408868227092347E-2</v>
      </c>
      <c r="Q89" s="1224">
        <v>5.6569669661948874E-2</v>
      </c>
      <c r="R89" s="1224">
        <v>2.5194439347406172E-2</v>
      </c>
      <c r="S89" s="1224">
        <v>2.519459819024461E-2</v>
      </c>
      <c r="T89" s="1224">
        <v>2.3791584078622474E-2</v>
      </c>
      <c r="U89" s="1224">
        <v>2.5871895556167868E-2</v>
      </c>
      <c r="V89" s="1224">
        <v>3.0801205603949944E-2</v>
      </c>
      <c r="W89" s="1224">
        <v>3.5557629572604554E-2</v>
      </c>
      <c r="X89" s="1224">
        <v>7.4640712595736902E-2</v>
      </c>
      <c r="Y89" s="1224">
        <v>2.3401424952650185E-2</v>
      </c>
      <c r="Z89" s="1224">
        <v>5.6108858999275091E-2</v>
      </c>
      <c r="AA89" s="1224">
        <v>1.9939271758504296E-2</v>
      </c>
      <c r="AB89" s="1224">
        <v>3.2176990786283444E-2</v>
      </c>
      <c r="AC89" s="1224">
        <v>4.0004956031640004E-2</v>
      </c>
      <c r="AD89" s="1224">
        <v>6.1312419978394761E-2</v>
      </c>
      <c r="AE89" s="1224">
        <v>3.32408870115668E-2</v>
      </c>
      <c r="AF89" s="1224">
        <v>4.0736208433254317E-2</v>
      </c>
      <c r="AG89" s="1224">
        <v>3.9501437704220876E-2</v>
      </c>
      <c r="AH89" s="1224">
        <v>5.4491577081506426E-2</v>
      </c>
      <c r="AI89" s="1224">
        <v>2.9529526614082036E-2</v>
      </c>
      <c r="AJ89" s="1224">
        <v>3.396941185524871E-2</v>
      </c>
      <c r="AK89" s="1224">
        <v>7.4203887006967229E-2</v>
      </c>
      <c r="AL89" s="1224">
        <v>3.4831669117111774E-2</v>
      </c>
      <c r="AM89" s="1224">
        <v>2.7817416696536812E-2</v>
      </c>
      <c r="AN89" s="1224">
        <v>3.207052093136542E-2</v>
      </c>
      <c r="AO89" s="1224">
        <v>5.7672186415252069E-2</v>
      </c>
      <c r="AP89" s="1224">
        <v>5.5394497725505643E-2</v>
      </c>
      <c r="AQ89" s="1224">
        <v>5.0285735174509627E-2</v>
      </c>
      <c r="AR89" s="1224">
        <v>2.9543224737872187E-2</v>
      </c>
      <c r="AS89" s="1224">
        <v>8.1989169048011235E-2</v>
      </c>
    </row>
    <row r="90" spans="1:45" ht="15" x14ac:dyDescent="0.2">
      <c r="A90" s="1220">
        <v>51</v>
      </c>
      <c r="B90" s="169">
        <v>51</v>
      </c>
      <c r="C90" s="1228"/>
      <c r="D90" s="1228"/>
      <c r="E90" s="1228"/>
      <c r="F90" s="1225" t="s">
        <v>684</v>
      </c>
      <c r="G90" s="1226">
        <f t="shared" si="4"/>
        <v>1</v>
      </c>
      <c r="H90" s="1227" t="str">
        <f t="shared" si="3"/>
        <v>-</v>
      </c>
      <c r="J90" s="96" t="s">
        <v>87</v>
      </c>
      <c r="K90" s="1224">
        <v>3.8922066311052328E-2</v>
      </c>
      <c r="L90" s="1224">
        <v>8.9072472863279017E-2</v>
      </c>
      <c r="M90" s="1224">
        <v>3.1628630090136944E-2</v>
      </c>
      <c r="N90" s="1224">
        <v>2.1976802227070991E-2</v>
      </c>
      <c r="O90" s="1224">
        <v>4.7919570153991398E-2</v>
      </c>
      <c r="P90" s="1224">
        <v>5.7600241764869997E-2</v>
      </c>
      <c r="Q90" s="1224">
        <v>5.6348541610643732E-2</v>
      </c>
      <c r="R90" s="1224">
        <v>2.5380189212690141E-2</v>
      </c>
      <c r="S90" s="1224">
        <v>2.5379763826007817E-2</v>
      </c>
      <c r="T90" s="1224">
        <v>2.4003827515334475E-2</v>
      </c>
      <c r="U90" s="1224">
        <v>2.6041498150198628E-2</v>
      </c>
      <c r="V90" s="1224">
        <v>3.0878921291698003E-2</v>
      </c>
      <c r="W90" s="1224">
        <v>3.5735496265287603E-2</v>
      </c>
      <c r="X90" s="1224">
        <v>7.4603796174887771E-2</v>
      </c>
      <c r="Y90" s="1224">
        <v>2.3620016855992576E-2</v>
      </c>
      <c r="Z90" s="1224">
        <v>5.6324853133820518E-2</v>
      </c>
      <c r="AA90" s="1224">
        <v>2.0222709016874063E-2</v>
      </c>
      <c r="AB90" s="1224">
        <v>3.2417117535377127E-2</v>
      </c>
      <c r="AC90" s="1224">
        <v>4.009550515566529E-2</v>
      </c>
      <c r="AD90" s="1224">
        <v>6.1524992945319656E-2</v>
      </c>
      <c r="AE90" s="1224">
        <v>3.3368081366073277E-2</v>
      </c>
      <c r="AF90" s="1224">
        <v>4.0630245676006371E-2</v>
      </c>
      <c r="AG90" s="1224">
        <v>3.9603460603835794E-2</v>
      </c>
      <c r="AH90" s="1224">
        <v>5.4835399387469508E-2</v>
      </c>
      <c r="AI90" s="1224">
        <v>2.9727454035626488E-2</v>
      </c>
      <c r="AJ90" s="1224">
        <v>3.3986603955636241E-2</v>
      </c>
      <c r="AK90" s="1224">
        <v>7.4067566995053236E-2</v>
      </c>
      <c r="AL90" s="1224">
        <v>3.5072122465887867E-2</v>
      </c>
      <c r="AM90" s="1224">
        <v>2.7952831687771518E-2</v>
      </c>
      <c r="AN90" s="1224">
        <v>3.2125469246750749E-2</v>
      </c>
      <c r="AO90" s="1224">
        <v>5.795486877441558E-2</v>
      </c>
      <c r="AP90" s="1224">
        <v>5.5576699192415591E-2</v>
      </c>
      <c r="AQ90" s="1224">
        <v>5.0614435715373496E-2</v>
      </c>
      <c r="AR90" s="1224">
        <v>2.9643341856738337E-2</v>
      </c>
      <c r="AS90" s="1224">
        <v>8.1809425735066332E-2</v>
      </c>
    </row>
    <row r="91" spans="1:45" ht="15" x14ac:dyDescent="0.2">
      <c r="A91" s="1220">
        <v>52</v>
      </c>
      <c r="B91" s="169">
        <v>52</v>
      </c>
      <c r="C91" s="1228"/>
      <c r="D91" s="1228"/>
      <c r="E91" s="1228"/>
      <c r="F91" s="1225" t="s">
        <v>684</v>
      </c>
      <c r="G91" s="1226">
        <f t="shared" si="4"/>
        <v>1</v>
      </c>
      <c r="H91" s="1227" t="str">
        <f t="shared" si="3"/>
        <v>-</v>
      </c>
      <c r="J91" s="96" t="s">
        <v>87</v>
      </c>
      <c r="K91" s="1224">
        <v>3.8946712149459106E-2</v>
      </c>
      <c r="L91" s="1224">
        <v>8.8757603635500892E-2</v>
      </c>
      <c r="M91" s="1224">
        <v>3.1689874515333338E-2</v>
      </c>
      <c r="N91" s="1224">
        <v>2.2219806896337957E-2</v>
      </c>
      <c r="O91" s="1224">
        <v>4.7867957504264202E-2</v>
      </c>
      <c r="P91" s="1224">
        <v>5.7784827717514142E-2</v>
      </c>
      <c r="Q91" s="1224">
        <v>5.6135146886199472E-2</v>
      </c>
      <c r="R91" s="1224">
        <v>2.555939221829906E-2</v>
      </c>
      <c r="S91" s="1224">
        <v>2.5558519634276022E-2</v>
      </c>
      <c r="T91" s="1224">
        <v>2.4208662229028954E-2</v>
      </c>
      <c r="U91" s="1224">
        <v>2.6205801577715793E-2</v>
      </c>
      <c r="V91" s="1224">
        <v>3.0954001414644106E-2</v>
      </c>
      <c r="W91" s="1224">
        <v>3.5907276761224738E-2</v>
      </c>
      <c r="X91" s="1224">
        <v>7.4567857033682738E-2</v>
      </c>
      <c r="Y91" s="1224">
        <v>2.3831215774910541E-2</v>
      </c>
      <c r="Z91" s="1224">
        <v>5.6533242444730014E-2</v>
      </c>
      <c r="AA91" s="1224">
        <v>2.0496789701124341E-2</v>
      </c>
      <c r="AB91" s="1224">
        <v>3.2649529240148523E-2</v>
      </c>
      <c r="AC91" s="1224">
        <v>4.0183449680417649E-2</v>
      </c>
      <c r="AD91" s="1224">
        <v>6.1729986381848567E-2</v>
      </c>
      <c r="AE91" s="1224">
        <v>3.349082773074108E-2</v>
      </c>
      <c r="AF91" s="1224">
        <v>4.0527572545351109E-2</v>
      </c>
      <c r="AG91" s="1224">
        <v>3.9702106945752602E-2</v>
      </c>
      <c r="AH91" s="1224">
        <v>5.5166799766656283E-2</v>
      </c>
      <c r="AI91" s="1224">
        <v>2.9918514655066675E-2</v>
      </c>
      <c r="AJ91" s="1224">
        <v>3.4003254800720972E-2</v>
      </c>
      <c r="AK91" s="1224">
        <v>7.3936839916837194E-2</v>
      </c>
      <c r="AL91" s="1224">
        <v>3.5304109052711974E-2</v>
      </c>
      <c r="AM91" s="1224">
        <v>2.8083491684466555E-2</v>
      </c>
      <c r="AN91" s="1224">
        <v>3.2178350330651417E-2</v>
      </c>
      <c r="AO91" s="1224">
        <v>5.82273884345621E-2</v>
      </c>
      <c r="AP91" s="1224">
        <v>5.5752413854221805E-2</v>
      </c>
      <c r="AQ91" s="1224">
        <v>5.0931247556338821E-2</v>
      </c>
      <c r="AR91" s="1224">
        <v>2.9740376957563042E-2</v>
      </c>
      <c r="AS91" s="1224">
        <v>8.1635788649303764E-2</v>
      </c>
    </row>
    <row r="92" spans="1:45" ht="15" x14ac:dyDescent="0.2">
      <c r="A92" s="1220">
        <v>53</v>
      </c>
      <c r="B92" s="169">
        <v>53</v>
      </c>
      <c r="C92" s="1228"/>
      <c r="D92" s="1228"/>
      <c r="E92" s="1228"/>
      <c r="F92" s="1225" t="s">
        <v>684</v>
      </c>
      <c r="G92" s="1226">
        <f t="shared" si="4"/>
        <v>1</v>
      </c>
      <c r="H92" s="1227" t="str">
        <f t="shared" si="3"/>
        <v>-</v>
      </c>
      <c r="J92" s="96" t="s">
        <v>87</v>
      </c>
      <c r="K92" s="1224">
        <v>3.8970134362038555E-2</v>
      </c>
      <c r="L92" s="1224">
        <v>8.8453966447254562E-2</v>
      </c>
      <c r="M92" s="1224">
        <v>3.1749030745518825E-2</v>
      </c>
      <c r="N92" s="1224">
        <v>2.2454396170743962E-2</v>
      </c>
      <c r="O92" s="1224">
        <v>4.7817875826262179E-2</v>
      </c>
      <c r="P92" s="1224">
        <v>5.7962956230756646E-2</v>
      </c>
      <c r="Q92" s="1224">
        <v>5.5929141190295795E-2</v>
      </c>
      <c r="R92" s="1224">
        <v>2.5732360398810883E-2</v>
      </c>
      <c r="S92" s="1224">
        <v>2.573115219486799E-2</v>
      </c>
      <c r="T92" s="1224">
        <v>2.4406425545386412E-2</v>
      </c>
      <c r="U92" s="1224">
        <v>2.6364937773221575E-2</v>
      </c>
      <c r="V92" s="1224">
        <v>3.1026567637360669E-2</v>
      </c>
      <c r="W92" s="1224">
        <v>3.6073232454878479E-2</v>
      </c>
      <c r="X92" s="1224">
        <v>7.4532878380880296E-2</v>
      </c>
      <c r="Y92" s="1224">
        <v>2.4035313739362962E-2</v>
      </c>
      <c r="Z92" s="1224">
        <v>5.673438469244485E-2</v>
      </c>
      <c r="AA92" s="1224">
        <v>2.0761818184150238E-2</v>
      </c>
      <c r="AB92" s="1224">
        <v>3.2874439890840268E-2</v>
      </c>
      <c r="AC92" s="1224">
        <v>4.0268830757876017E-2</v>
      </c>
      <c r="AD92" s="1224">
        <v>6.1927772662598191E-2</v>
      </c>
      <c r="AE92" s="1224">
        <v>3.360933959978829E-2</v>
      </c>
      <c r="AF92" s="1224">
        <v>4.0428095292963873E-2</v>
      </c>
      <c r="AG92" s="1224">
        <v>3.9797514858113558E-2</v>
      </c>
      <c r="AH92" s="1224">
        <v>5.5486399723593038E-2</v>
      </c>
      <c r="AI92" s="1224">
        <v>3.0103016104993774E-2</v>
      </c>
      <c r="AJ92" s="1224">
        <v>3.4019390232780777E-2</v>
      </c>
      <c r="AK92" s="1224">
        <v>7.3811363199537627E-2</v>
      </c>
      <c r="AL92" s="1224">
        <v>3.5528023350375859E-2</v>
      </c>
      <c r="AM92" s="1224">
        <v>2.8209626402461607E-2</v>
      </c>
      <c r="AN92" s="1224">
        <v>3.222928026332661E-2</v>
      </c>
      <c r="AO92" s="1224">
        <v>5.8490249955956086E-2</v>
      </c>
      <c r="AP92" s="1224">
        <v>5.5921961880534887E-2</v>
      </c>
      <c r="AQ92" s="1224">
        <v>5.1236768581478742E-2</v>
      </c>
      <c r="AR92" s="1224">
        <v>2.9834416605352354E-2</v>
      </c>
      <c r="AS92" s="1224">
        <v>8.1468008712995976E-2</v>
      </c>
    </row>
    <row r="93" spans="1:45" ht="15" x14ac:dyDescent="0.2">
      <c r="A93" s="1220">
        <v>54</v>
      </c>
      <c r="B93" s="169">
        <v>54</v>
      </c>
      <c r="C93" s="1228"/>
      <c r="D93" s="1228"/>
      <c r="E93" s="1228"/>
      <c r="F93" s="1225" t="s">
        <v>684</v>
      </c>
      <c r="G93" s="1226">
        <f t="shared" si="4"/>
        <v>1</v>
      </c>
      <c r="H93" s="1227" t="str">
        <f t="shared" si="3"/>
        <v>-</v>
      </c>
      <c r="J93" s="96" t="s">
        <v>87</v>
      </c>
      <c r="K93" s="1224">
        <v>3.8992422873562527E-2</v>
      </c>
      <c r="L93" s="1224">
        <v>8.8161019875113045E-2</v>
      </c>
      <c r="M93" s="1224">
        <v>3.1806200784059602E-2</v>
      </c>
      <c r="N93" s="1224">
        <v>2.2680951676616878E-2</v>
      </c>
      <c r="O93" s="1224">
        <v>4.7769278029646811E-2</v>
      </c>
      <c r="P93" s="1224">
        <v>5.8134938200795183E-2</v>
      </c>
      <c r="Q93" s="1224">
        <v>5.5730194677420908E-2</v>
      </c>
      <c r="R93" s="1224">
        <v>2.5899388528441536E-2</v>
      </c>
      <c r="S93" s="1224">
        <v>2.5897935179786113E-2</v>
      </c>
      <c r="T93" s="1224">
        <v>2.4597438929111037E-2</v>
      </c>
      <c r="U93" s="1224">
        <v>2.6519052282543587E-2</v>
      </c>
      <c r="V93" s="1224">
        <v>3.1096734771472345E-2</v>
      </c>
      <c r="W93" s="1224">
        <v>3.6233614687718907E-2</v>
      </c>
      <c r="X93" s="1224">
        <v>7.4498841330345345E-2</v>
      </c>
      <c r="Y93" s="1224">
        <v>2.4232597249508103E-2</v>
      </c>
      <c r="Z93" s="1224">
        <v>5.692861883514988E-2</v>
      </c>
      <c r="AA93" s="1224">
        <v>2.1018110027728687E-2</v>
      </c>
      <c r="AB93" s="1224">
        <v>3.3092080923886824E-2</v>
      </c>
      <c r="AC93" s="1224">
        <v>4.035169945294137E-2</v>
      </c>
      <c r="AD93" s="1224">
        <v>6.2118702090091071E-2</v>
      </c>
      <c r="AE93" s="1224">
        <v>3.3723817994536942E-2</v>
      </c>
      <c r="AF93" s="1224">
        <v>4.0331716327259404E-2</v>
      </c>
      <c r="AG93" s="1224">
        <v>3.9889817416264073E-2</v>
      </c>
      <c r="AH93" s="1224">
        <v>5.5794783435560324E-2</v>
      </c>
      <c r="AI93" s="1224">
        <v>3.0281252221742161E-2</v>
      </c>
      <c r="AJ93" s="1224">
        <v>3.4035034372878359E-2</v>
      </c>
      <c r="AK93" s="1224">
        <v>7.3690821609952994E-2</v>
      </c>
      <c r="AL93" s="1224">
        <v>3.5744240062124621E-2</v>
      </c>
      <c r="AM93" s="1224">
        <v>2.8331452019958236E-2</v>
      </c>
      <c r="AN93" s="1224">
        <v>3.2278366551431903E-2</v>
      </c>
      <c r="AO93" s="1224">
        <v>5.8743927819234099E-2</v>
      </c>
      <c r="AP93" s="1224">
        <v>5.608564405038674E-2</v>
      </c>
      <c r="AQ93" s="1224">
        <v>5.1531560208368576E-2</v>
      </c>
      <c r="AR93" s="1224">
        <v>2.9925551088709534E-2</v>
      </c>
      <c r="AS93" s="1224">
        <v>8.1305843929129651E-2</v>
      </c>
    </row>
    <row r="94" spans="1:45" ht="15" x14ac:dyDescent="0.2">
      <c r="A94" s="1220">
        <v>55</v>
      </c>
      <c r="B94" s="169">
        <v>55</v>
      </c>
      <c r="C94" s="1228"/>
      <c r="D94" s="1228"/>
      <c r="E94" s="1228"/>
      <c r="F94" s="1225" t="s">
        <v>684</v>
      </c>
      <c r="G94" s="1226">
        <f t="shared" si="4"/>
        <v>1</v>
      </c>
      <c r="H94" s="1227" t="str">
        <f t="shared" si="3"/>
        <v>-</v>
      </c>
      <c r="J94" s="96" t="s">
        <v>87</v>
      </c>
      <c r="K94" s="1224">
        <v>3.9013659435848558E-2</v>
      </c>
      <c r="L94" s="1224">
        <v>8.7878251894093484E-2</v>
      </c>
      <c r="M94" s="1224">
        <v>3.1861480102869377E-2</v>
      </c>
      <c r="N94" s="1224">
        <v>2.2899837365082387E-2</v>
      </c>
      <c r="O94" s="1224">
        <v>4.7722117006957498E-2</v>
      </c>
      <c r="P94" s="1224">
        <v>5.830106651657041E-2</v>
      </c>
      <c r="Q94" s="1224">
        <v>5.5537991931975839E-2</v>
      </c>
      <c r="R94" s="1224">
        <v>2.606075509768635E-2</v>
      </c>
      <c r="S94" s="1224">
        <v>2.605912960801593E-2</v>
      </c>
      <c r="T94" s="1224">
        <v>2.4782008397526312E-2</v>
      </c>
      <c r="U94" s="1224">
        <v>2.6668299738820567E-2</v>
      </c>
      <c r="V94" s="1224">
        <v>3.1164611227644023E-2</v>
      </c>
      <c r="W94" s="1224">
        <v>3.638866460767165E-2</v>
      </c>
      <c r="X94" s="1224">
        <v>7.446572537858942E-2</v>
      </c>
      <c r="Y94" s="1224">
        <v>2.4423345703019406E-2</v>
      </c>
      <c r="Z94" s="1224">
        <v>5.7116265912128927E-2</v>
      </c>
      <c r="AA94" s="1224">
        <v>2.1265985845706048E-2</v>
      </c>
      <c r="AB94" s="1224">
        <v>3.3302694599865124E-2</v>
      </c>
      <c r="AC94" s="1224">
        <v>4.043211424847426E-2</v>
      </c>
      <c r="AD94" s="1224">
        <v>6.2303104357825045E-2</v>
      </c>
      <c r="AE94" s="1224">
        <v>3.3834452302549334E-2</v>
      </c>
      <c r="AF94" s="1224">
        <v>4.023833581119951E-2</v>
      </c>
      <c r="AG94" s="1224">
        <v>3.997914259145019E-2</v>
      </c>
      <c r="AH94" s="1224">
        <v>5.6092500196683215E-2</v>
      </c>
      <c r="AI94" s="1224">
        <v>3.0453503290077233E-2</v>
      </c>
      <c r="AJ94" s="1224">
        <v>3.4050209769456607E-2</v>
      </c>
      <c r="AK94" s="1224">
        <v>7.3574924617836324E-2</v>
      </c>
      <c r="AL94" s="1224">
        <v>3.5953114850377332E-2</v>
      </c>
      <c r="AM94" s="1224">
        <v>2.8449172098072628E-2</v>
      </c>
      <c r="AN94" s="1224">
        <v>3.2325708906228767E-2</v>
      </c>
      <c r="AO94" s="1224">
        <v>5.8988868393861082E-2</v>
      </c>
      <c r="AP94" s="1224">
        <v>5.6243743111906497E-2</v>
      </c>
      <c r="AQ94" s="1224">
        <v>5.1816149871337203E-2</v>
      </c>
      <c r="AR94" s="1224">
        <v>3.0013872902366234E-2</v>
      </c>
      <c r="AS94" s="1224">
        <v>8.1149060062821299E-2</v>
      </c>
    </row>
    <row r="95" spans="1:45" ht="15" x14ac:dyDescent="0.2">
      <c r="A95" s="1220">
        <v>56</v>
      </c>
      <c r="B95" s="169">
        <v>56</v>
      </c>
      <c r="C95" s="1228"/>
      <c r="D95" s="1228"/>
      <c r="E95" s="1228"/>
      <c r="F95" s="1225" t="s">
        <v>684</v>
      </c>
      <c r="G95" s="1226">
        <f t="shared" si="4"/>
        <v>1</v>
      </c>
      <c r="H95" s="1227" t="str">
        <f t="shared" si="3"/>
        <v>-</v>
      </c>
      <c r="J95" s="96" t="s">
        <v>87</v>
      </c>
      <c r="K95" s="1224">
        <v>3.9033918477926033E-2</v>
      </c>
      <c r="L95" s="1224">
        <v>8.7605178436007014E-2</v>
      </c>
      <c r="M95" s="1224">
        <v>3.191495816881651E-2</v>
      </c>
      <c r="N95" s="1224">
        <v>2.3111399890493489E-2</v>
      </c>
      <c r="O95" s="1224">
        <v>4.7676345944985155E-2</v>
      </c>
      <c r="P95" s="1224">
        <v>5.8461617219211615E-2</v>
      </c>
      <c r="Q95" s="1224">
        <v>5.535223179923543E-2</v>
      </c>
      <c r="R95" s="1224">
        <v>2.6216723246194285E-2</v>
      </c>
      <c r="S95" s="1224">
        <v>2.6214984175921607E-2</v>
      </c>
      <c r="T95" s="1224">
        <v>2.4960425007441778E-2</v>
      </c>
      <c r="U95" s="1224">
        <v>2.6812840291491558E-2</v>
      </c>
      <c r="V95" s="1224">
        <v>3.1230299432893682E-2</v>
      </c>
      <c r="W95" s="1224">
        <v>3.6538613164768252E-2</v>
      </c>
      <c r="X95" s="1224">
        <v>7.4433508806827753E-2</v>
      </c>
      <c r="Y95" s="1224">
        <v>2.460783026225899E-2</v>
      </c>
      <c r="Z95" s="1224">
        <v>5.7297629922422377E-2</v>
      </c>
      <c r="AA95" s="1224">
        <v>2.1505766613123534E-2</v>
      </c>
      <c r="AB95" s="1224">
        <v>3.3506528863488372E-2</v>
      </c>
      <c r="AC95" s="1224">
        <v>4.051013901628453E-2</v>
      </c>
      <c r="AD95" s="1224">
        <v>6.24812899110192E-2</v>
      </c>
      <c r="AE95" s="1224">
        <v>3.3941421053254262E-2</v>
      </c>
      <c r="AF95" s="1224">
        <v>4.0147852946431195E-2</v>
      </c>
      <c r="AG95" s="1224">
        <v>4.0065613256074828E-2</v>
      </c>
      <c r="AH95" s="1224">
        <v>5.6380066705467913E-2</v>
      </c>
      <c r="AI95" s="1224">
        <v>3.0620036376664217E-2</v>
      </c>
      <c r="AJ95" s="1224">
        <v>3.406493753134221E-2</v>
      </c>
      <c r="AK95" s="1224">
        <v>7.3463404053760062E-2</v>
      </c>
      <c r="AL95" s="1224">
        <v>3.6154985110019355E-2</v>
      </c>
      <c r="AM95" s="1224">
        <v>2.8562978430830555E-2</v>
      </c>
      <c r="AN95" s="1224">
        <v>3.2371399938526002E-2</v>
      </c>
      <c r="AO95" s="1224">
        <v>5.9225491777462835E-2</v>
      </c>
      <c r="AP95" s="1224">
        <v>5.6396525034464906E-2</v>
      </c>
      <c r="AQ95" s="1224">
        <v>5.2091033328718561E-2</v>
      </c>
      <c r="AR95" s="1224">
        <v>3.009947553130865E-2</v>
      </c>
      <c r="AS95" s="1224">
        <v>8.0997431097470596E-2</v>
      </c>
    </row>
    <row r="96" spans="1:45" ht="15" x14ac:dyDescent="0.2">
      <c r="A96" s="1220">
        <v>57</v>
      </c>
      <c r="B96" s="169">
        <v>57</v>
      </c>
      <c r="C96" s="1228"/>
      <c r="D96" s="1228"/>
      <c r="E96" s="1228"/>
      <c r="F96" s="1225" t="s">
        <v>684</v>
      </c>
      <c r="G96" s="1226">
        <f t="shared" si="4"/>
        <v>1</v>
      </c>
      <c r="H96" s="1227" t="str">
        <f t="shared" si="3"/>
        <v>-</v>
      </c>
      <c r="J96" s="96" t="s">
        <v>87</v>
      </c>
      <c r="K96" s="1224">
        <v>3.905326785798513E-2</v>
      </c>
      <c r="L96" s="1224">
        <v>8.7341341961401087E-2</v>
      </c>
      <c r="M96" s="1224">
        <v>3.1966718918422066E-2</v>
      </c>
      <c r="N96" s="1224">
        <v>2.3315969093815836E-2</v>
      </c>
      <c r="O96" s="1224">
        <v>4.7631918575848031E-2</v>
      </c>
      <c r="P96" s="1224">
        <v>5.8616850583720792E-2</v>
      </c>
      <c r="Q96" s="1224">
        <v>5.5172627104762118E-2</v>
      </c>
      <c r="R96" s="1224">
        <v>2.6367541650840209E-2</v>
      </c>
      <c r="S96" s="1224">
        <v>2.6365735642156052E-2</v>
      </c>
      <c r="T96" s="1224">
        <v>2.5132965392527185E-2</v>
      </c>
      <c r="U96" s="1224">
        <v>2.695283680298477E-2</v>
      </c>
      <c r="V96" s="1224">
        <v>3.1293896216353811E-2</v>
      </c>
      <c r="W96" s="1224">
        <v>3.6683681212019481E-2</v>
      </c>
      <c r="X96" s="1224">
        <v>7.4402169018831232E-2</v>
      </c>
      <c r="Y96" s="1224">
        <v>2.4786313070978672E-2</v>
      </c>
      <c r="Z96" s="1224">
        <v>5.7472998689326538E-2</v>
      </c>
      <c r="AA96" s="1224">
        <v>2.1737770119455657E-2</v>
      </c>
      <c r="AB96" s="1224">
        <v>3.3703833382372483E-2</v>
      </c>
      <c r="AC96" s="1224">
        <v>4.0585841371503228E-2</v>
      </c>
      <c r="AD96" s="1224">
        <v>6.2653551212015879E-2</v>
      </c>
      <c r="AE96" s="1224">
        <v>3.4044892635435087E-2</v>
      </c>
      <c r="AF96" s="1224">
        <v>4.0060166998092672E-2</v>
      </c>
      <c r="AG96" s="1224">
        <v>4.0149347233332744E-2</v>
      </c>
      <c r="AH96" s="1224">
        <v>5.6657969203041336E-2</v>
      </c>
      <c r="AI96" s="1224">
        <v>3.0781105728007185E-2</v>
      </c>
      <c r="AJ96" s="1224">
        <v>3.4079237447060207E-2</v>
      </c>
      <c r="AK96" s="1224">
        <v>7.33560120243133E-2</v>
      </c>
      <c r="AL96" s="1224">
        <v>3.6350170766379808E-2</v>
      </c>
      <c r="AM96" s="1224">
        <v>2.8673051830666596E-2</v>
      </c>
      <c r="AN96" s="1224">
        <v>3.2415525780552734E-2</v>
      </c>
      <c r="AO96" s="1224">
        <v>5.9454193512949116E-2</v>
      </c>
      <c r="AP96" s="1224">
        <v>5.6544240162798909E-2</v>
      </c>
      <c r="AQ96" s="1224">
        <v>5.2356676805721536E-2</v>
      </c>
      <c r="AR96" s="1224">
        <v>3.0182452482673261E-2</v>
      </c>
      <c r="AS96" s="1224">
        <v>8.0850739510351266E-2</v>
      </c>
    </row>
    <row r="97" spans="1:45" ht="15" x14ac:dyDescent="0.2">
      <c r="A97" s="1220">
        <v>58</v>
      </c>
      <c r="B97" s="169">
        <v>58</v>
      </c>
      <c r="C97" s="1228"/>
      <c r="D97" s="1228"/>
      <c r="E97" s="1228"/>
      <c r="F97" s="1225" t="s">
        <v>684</v>
      </c>
      <c r="G97" s="1226">
        <f t="shared" si="4"/>
        <v>1</v>
      </c>
      <c r="H97" s="1227" t="str">
        <f t="shared" si="3"/>
        <v>-</v>
      </c>
      <c r="J97" s="96" t="s">
        <v>87</v>
      </c>
      <c r="K97" s="1224">
        <v>3.9071769529578804E-2</v>
      </c>
      <c r="L97" s="1224">
        <v>8.7086310059212524E-2</v>
      </c>
      <c r="M97" s="1224">
        <v>3.2016841186839118E-2</v>
      </c>
      <c r="N97" s="1224">
        <v>2.3513858560458401E-2</v>
      </c>
      <c r="O97" s="1224">
        <v>4.7588789377427165E-2</v>
      </c>
      <c r="P97" s="1224">
        <v>5.8767012127810325E-2</v>
      </c>
      <c r="Q97" s="1224">
        <v>5.4998904290342265E-2</v>
      </c>
      <c r="R97" s="1224">
        <v>2.6513445368810951E-2</v>
      </c>
      <c r="S97" s="1224">
        <v>2.6511609250313262E-2</v>
      </c>
      <c r="T97" s="1224">
        <v>2.5299892333246365E-2</v>
      </c>
      <c r="U97" s="1224">
        <v>2.7088452663696305E-2</v>
      </c>
      <c r="V97" s="1224">
        <v>3.1355493166268511E-2</v>
      </c>
      <c r="W97" s="1224">
        <v>3.6824079686560429E-2</v>
      </c>
      <c r="X97" s="1224">
        <v>7.4371682824116769E-2</v>
      </c>
      <c r="Y97" s="1224">
        <v>2.4959046747736524E-2</v>
      </c>
      <c r="Z97" s="1224">
        <v>5.7642644703755241E-2</v>
      </c>
      <c r="AA97" s="1224">
        <v>2.1962308326116897E-2</v>
      </c>
      <c r="AB97" s="1224">
        <v>3.389485652291091E-2</v>
      </c>
      <c r="AC97" s="1224">
        <v>4.0659291342530768E-2</v>
      </c>
      <c r="AD97" s="1224">
        <v>6.2820163916952332E-2</v>
      </c>
      <c r="AE97" s="1224">
        <v>3.4145025961447306E-2</v>
      </c>
      <c r="AF97" s="1224">
        <v>3.9975178105481568E-2</v>
      </c>
      <c r="AG97" s="1224">
        <v>4.0230457381285722E-2</v>
      </c>
      <c r="AH97" s="1224">
        <v>5.6926665469757998E-2</v>
      </c>
      <c r="AI97" s="1224">
        <v>3.0936953213520635E-2</v>
      </c>
      <c r="AJ97" s="1224">
        <v>3.409312809209708E-2</v>
      </c>
      <c r="AK97" s="1224">
        <v>7.3252519052672938E-2</v>
      </c>
      <c r="AL97" s="1224">
        <v>3.653897508251136E-2</v>
      </c>
      <c r="AM97" s="1224">
        <v>2.8779562854896135E-2</v>
      </c>
      <c r="AN97" s="1224">
        <v>3.245816664358081E-2</v>
      </c>
      <c r="AO97" s="1224">
        <v>5.9675346190400269E-2</v>
      </c>
      <c r="AP97" s="1224">
        <v>5.668712428167666E-2</v>
      </c>
      <c r="AQ97" s="1224">
        <v>5.2613518984094165E-2</v>
      </c>
      <c r="AR97" s="1224">
        <v>3.0262896521126015E-2</v>
      </c>
      <c r="AS97" s="1224">
        <v>8.0708776404361027E-2</v>
      </c>
    </row>
    <row r="98" spans="1:45" ht="15" x14ac:dyDescent="0.2">
      <c r="A98" s="1220">
        <v>59</v>
      </c>
      <c r="B98" s="169">
        <v>59</v>
      </c>
      <c r="C98" s="1228"/>
      <c r="D98" s="1228"/>
      <c r="E98" s="1228"/>
      <c r="F98" s="1225" t="s">
        <v>684</v>
      </c>
      <c r="G98" s="1226">
        <f t="shared" si="4"/>
        <v>1</v>
      </c>
      <c r="H98" s="1227" t="str">
        <f t="shared" si="3"/>
        <v>-</v>
      </c>
      <c r="J98" s="96" t="s">
        <v>87</v>
      </c>
      <c r="K98" s="1224">
        <v>3.9089480132790122E-2</v>
      </c>
      <c r="L98" s="1224">
        <v>8.6839674084620011E-2</v>
      </c>
      <c r="M98" s="1224">
        <v>3.2065399096300462E-2</v>
      </c>
      <c r="N98" s="1224">
        <v>2.3705366228450986E-2</v>
      </c>
      <c r="O98" s="1224">
        <v>4.7546913731312923E-2</v>
      </c>
      <c r="P98" s="1224">
        <v>5.8912333552600726E-2</v>
      </c>
      <c r="Q98" s="1224">
        <v>5.483080298912868E-2</v>
      </c>
      <c r="R98" s="1224">
        <v>2.6654656636150298E-2</v>
      </c>
      <c r="S98" s="1224">
        <v>2.66528191760389E-2</v>
      </c>
      <c r="T98" s="1224">
        <v>2.546145534526989E-2</v>
      </c>
      <c r="U98" s="1224">
        <v>2.721985010461947E-2</v>
      </c>
      <c r="V98" s="1224">
        <v>3.1415176960726043E-2</v>
      </c>
      <c r="W98" s="1224">
        <v>3.6960009850972586E-2</v>
      </c>
      <c r="X98" s="1224">
        <v>7.4342026674606654E-2</v>
      </c>
      <c r="Y98" s="1224">
        <v>2.5126274097297951E-2</v>
      </c>
      <c r="Z98" s="1224">
        <v>5.7806825941425055E-2</v>
      </c>
      <c r="AA98" s="1224">
        <v>2.2179685437372143E-2</v>
      </c>
      <c r="AB98" s="1224">
        <v>3.4079843070388138E-2</v>
      </c>
      <c r="AC98" s="1224">
        <v>4.0730560300768159E-2</v>
      </c>
      <c r="AD98" s="1224">
        <v>6.2981387969936575E-2</v>
      </c>
      <c r="AE98" s="1224">
        <v>3.4241971082577205E-2</v>
      </c>
      <c r="AF98" s="1224">
        <v>3.9892787916161243E-2</v>
      </c>
      <c r="AG98" s="1224">
        <v>4.0309051703275589E-2</v>
      </c>
      <c r="AH98" s="1224">
        <v>5.7186586688023011E-2</v>
      </c>
      <c r="AI98" s="1224">
        <v>3.1087808798416994E-2</v>
      </c>
      <c r="AJ98" s="1224">
        <v>3.4106626925525241E-2</v>
      </c>
      <c r="AK98" s="1224">
        <v>7.3152712417011267E-2</v>
      </c>
      <c r="AL98" s="1224">
        <v>3.6721685463978915E-2</v>
      </c>
      <c r="AM98" s="1224">
        <v>2.8882672478123705E-2</v>
      </c>
      <c r="AN98" s="1224">
        <v>3.2499397318902279E-2</v>
      </c>
      <c r="AO98" s="1224">
        <v>5.9889300940629608E-2</v>
      </c>
      <c r="AP98" s="1224">
        <v>5.6825399598837256E-2</v>
      </c>
      <c r="AQ98" s="1224">
        <v>5.2861972849229666E-2</v>
      </c>
      <c r="AR98" s="1224">
        <v>3.0340899071239713E-2</v>
      </c>
      <c r="AS98" s="1224">
        <v>8.0571341526078255E-2</v>
      </c>
    </row>
    <row r="99" spans="1:45" ht="15" x14ac:dyDescent="0.2">
      <c r="A99" s="1220">
        <v>60</v>
      </c>
      <c r="B99" s="169">
        <v>60</v>
      </c>
      <c r="C99" s="1228"/>
      <c r="D99" s="1228"/>
      <c r="E99" s="1228"/>
      <c r="F99" s="1225" t="s">
        <v>684</v>
      </c>
      <c r="G99" s="1226">
        <f t="shared" si="4"/>
        <v>1</v>
      </c>
      <c r="H99" s="1227" t="str">
        <f t="shared" si="3"/>
        <v>-</v>
      </c>
      <c r="J99" s="96" t="s">
        <v>87</v>
      </c>
      <c r="K99" s="1224">
        <v>3.9106451519670404E-2</v>
      </c>
      <c r="L99" s="1224">
        <v>8.6601047842659984E-2</v>
      </c>
      <c r="M99" s="1224">
        <v>3.2112462408572018E-2</v>
      </c>
      <c r="N99" s="1224">
        <v>2.3890775028021727E-2</v>
      </c>
      <c r="O99" s="1224">
        <v>4.7506248045152244E-2</v>
      </c>
      <c r="P99" s="1224">
        <v>5.9053033619688611E-2</v>
      </c>
      <c r="Q99" s="1224">
        <v>5.4668075558253593E-2</v>
      </c>
      <c r="R99" s="1224">
        <v>2.6791385622680242E-2</v>
      </c>
      <c r="S99" s="1224">
        <v>2.6789568988115242E-2</v>
      </c>
      <c r="T99" s="1224">
        <v>2.5617891275383053E-2</v>
      </c>
      <c r="U99" s="1224">
        <v>2.7347188910088471E-2</v>
      </c>
      <c r="V99" s="1224">
        <v>3.1473029674373931E-2</v>
      </c>
      <c r="W99" s="1224">
        <v>3.7091663578653344E-2</v>
      </c>
      <c r="X99" s="1224">
        <v>7.4313176861665164E-2</v>
      </c>
      <c r="Y99" s="1224">
        <v>2.5288227992662504E-2</v>
      </c>
      <c r="Z99" s="1224">
        <v>5.7965786650359563E-2</v>
      </c>
      <c r="AA99" s="1224">
        <v>2.2390196532615203E-2</v>
      </c>
      <c r="AB99" s="1224">
        <v>3.4259032539194045E-2</v>
      </c>
      <c r="AC99" s="1224">
        <v>4.0799720104186754E-2</v>
      </c>
      <c r="AD99" s="1224">
        <v>6.3137468620587001E-2</v>
      </c>
      <c r="AE99" s="1224">
        <v>3.4335869759542836E-2</v>
      </c>
      <c r="AF99" s="1224">
        <v>3.9812900074770008E-2</v>
      </c>
      <c r="AG99" s="1224">
        <v>4.0385233478068328E-2</v>
      </c>
      <c r="AH99" s="1224">
        <v>5.7438139179166958E-2</v>
      </c>
      <c r="AI99" s="1224">
        <v>3.1233891034312844E-2</v>
      </c>
      <c r="AJ99" s="1224">
        <v>3.4119750377227698E-2</v>
      </c>
      <c r="AK99" s="1224">
        <v>7.3056394662947E-2</v>
      </c>
      <c r="AL99" s="1224">
        <v>3.6898574252219651E-2</v>
      </c>
      <c r="AM99" s="1224">
        <v>2.8982532715069009E-2</v>
      </c>
      <c r="AN99" s="1224">
        <v>3.2539287628779556E-2</v>
      </c>
      <c r="AO99" s="1224">
        <v>6.0096388827163505E-2</v>
      </c>
      <c r="AP99" s="1224">
        <v>5.6959275653195585E-2</v>
      </c>
      <c r="AQ99" s="1224">
        <v>5.3102427404799091E-2</v>
      </c>
      <c r="AR99" s="1224">
        <v>3.0416549756763001E-2</v>
      </c>
      <c r="AS99" s="1224">
        <v>8.0438243194827619E-2</v>
      </c>
    </row>
    <row r="100" spans="1:45" ht="15" x14ac:dyDescent="0.2">
      <c r="A100" s="1220">
        <v>61</v>
      </c>
      <c r="B100" s="169">
        <v>61</v>
      </c>
      <c r="C100" s="1228"/>
      <c r="D100" s="1228"/>
      <c r="E100" s="1228"/>
      <c r="F100" s="1225" t="s">
        <v>684</v>
      </c>
      <c r="G100" s="1226">
        <f t="shared" si="4"/>
        <v>1</v>
      </c>
      <c r="H100" s="1227" t="str">
        <f t="shared" si="3"/>
        <v>-</v>
      </c>
      <c r="J100" s="96" t="s">
        <v>87</v>
      </c>
      <c r="K100" s="1224">
        <v>3.912273122190757E-2</v>
      </c>
      <c r="L100" s="1224">
        <v>8.6370066322844163E-2</v>
      </c>
      <c r="M100" s="1224">
        <v>3.2158096845338546E-2</v>
      </c>
      <c r="N100" s="1224">
        <v>2.4070353537747113E-2</v>
      </c>
      <c r="O100" s="1224">
        <v>4.7466749845221701E-2</v>
      </c>
      <c r="P100" s="1224">
        <v>5.9189318968827287E-2</v>
      </c>
      <c r="Q100" s="1224">
        <v>5.4510486583555284E-2</v>
      </c>
      <c r="R100" s="1224">
        <v>2.6923831144549437E-2</v>
      </c>
      <c r="S100" s="1224">
        <v>2.6922052115298856E-2</v>
      </c>
      <c r="T100" s="1224">
        <v>2.5769424896399107E-2</v>
      </c>
      <c r="U100" s="1224">
        <v>2.7470625451694097E-2</v>
      </c>
      <c r="V100" s="1224">
        <v>3.1529129063129435E-2</v>
      </c>
      <c r="W100" s="1224">
        <v>3.7219223670293955E-2</v>
      </c>
      <c r="X100" s="1224">
        <v>7.4285109679394834E-2</v>
      </c>
      <c r="Y100" s="1224">
        <v>2.5445131389536302E-2</v>
      </c>
      <c r="Z100" s="1224">
        <v>5.8119758106413233E-2</v>
      </c>
      <c r="AA100" s="1224">
        <v>2.2594126638836531E-2</v>
      </c>
      <c r="AB100" s="1224">
        <v>3.4432657949856615E-2</v>
      </c>
      <c r="AC100" s="1224">
        <v>4.0866842416822147E-2</v>
      </c>
      <c r="AD100" s="1224">
        <v>6.3288637370416234E-2</v>
      </c>
      <c r="AE100" s="1224">
        <v>3.4426855991778194E-2</v>
      </c>
      <c r="AF100" s="1224">
        <v>3.9735420592522441E-2</v>
      </c>
      <c r="AG100" s="1224">
        <v>4.0459101404365594E-2</v>
      </c>
      <c r="AH100" s="1224">
        <v>5.7681706022079116E-2</v>
      </c>
      <c r="AI100" s="1224">
        <v>3.1375407558075219E-2</v>
      </c>
      <c r="AJ100" s="1224">
        <v>3.4132513926780961E-2</v>
      </c>
      <c r="AK100" s="1224">
        <v>7.2963382269424226E-2</v>
      </c>
      <c r="AL100" s="1224">
        <v>3.7069899499813763E-2</v>
      </c>
      <c r="AM100" s="1224">
        <v>2.9079287197891102E-2</v>
      </c>
      <c r="AN100" s="1224">
        <v>3.257790283307993E-2</v>
      </c>
      <c r="AO100" s="1224">
        <v>6.0296922143157961E-2</v>
      </c>
      <c r="AP100" s="1224">
        <v>5.7088950154633888E-2</v>
      </c>
      <c r="AQ100" s="1224">
        <v>5.3335249264413243E-2</v>
      </c>
      <c r="AR100" s="1224">
        <v>3.048993605193373E-2</v>
      </c>
      <c r="AS100" s="1224">
        <v>8.0309298162955844E-2</v>
      </c>
    </row>
    <row r="101" spans="1:45" ht="15" x14ac:dyDescent="0.2">
      <c r="A101" s="1220">
        <v>62</v>
      </c>
      <c r="B101" s="169">
        <v>62</v>
      </c>
      <c r="C101" s="1228"/>
      <c r="D101" s="1228"/>
      <c r="E101" s="1228"/>
      <c r="F101" s="1225" t="s">
        <v>684</v>
      </c>
      <c r="G101" s="1226">
        <f t="shared" si="4"/>
        <v>1</v>
      </c>
      <c r="H101" s="1227" t="str">
        <f t="shared" si="3"/>
        <v>-</v>
      </c>
      <c r="J101" s="96" t="s">
        <v>87</v>
      </c>
      <c r="K101" s="1224">
        <v>3.9138362867739973E-2</v>
      </c>
      <c r="L101" s="1224">
        <v>8.6146384488160921E-2</v>
      </c>
      <c r="M101" s="1224">
        <v>3.2202364379980697E-2</v>
      </c>
      <c r="N101" s="1224">
        <v>2.4244356645764853E-2</v>
      </c>
      <c r="O101" s="1224">
        <v>4.7428377844151326E-2</v>
      </c>
      <c r="P101" s="1224">
        <v>5.9321384880266059E-2</v>
      </c>
      <c r="Q101" s="1224">
        <v>5.4357812368079905E-2</v>
      </c>
      <c r="R101" s="1224">
        <v>2.7052181335903258E-2</v>
      </c>
      <c r="S101" s="1224">
        <v>2.705045231252301E-2</v>
      </c>
      <c r="T101" s="1224">
        <v>2.5916269494580479E-2</v>
      </c>
      <c r="U101" s="1224">
        <v>2.7590311979443838E-2</v>
      </c>
      <c r="V101" s="1224">
        <v>3.1583548828711949E-2</v>
      </c>
      <c r="W101" s="1224">
        <v>3.7342864191137748E-2</v>
      </c>
      <c r="X101" s="1224">
        <v>7.4257801559214132E-2</v>
      </c>
      <c r="Y101" s="1224">
        <v>2.5597197442492003E-2</v>
      </c>
      <c r="Z101" s="1224">
        <v>5.8268959335453285E-2</v>
      </c>
      <c r="AA101" s="1224">
        <v>2.2791750146664791E-2</v>
      </c>
      <c r="AB101" s="1224">
        <v>3.4600944974232384E-2</v>
      </c>
      <c r="AC101" s="1224">
        <v>4.0931998172893724E-2</v>
      </c>
      <c r="AD101" s="1224">
        <v>6.34351128531776E-2</v>
      </c>
      <c r="AE101" s="1224">
        <v>3.4515056508807263E-2</v>
      </c>
      <c r="AF101" s="1224">
        <v>3.9660258119020408E-2</v>
      </c>
      <c r="AG101" s="1224">
        <v>4.053074975532911E-2</v>
      </c>
      <c r="AH101" s="1224">
        <v>5.7917648561094603E-2</v>
      </c>
      <c r="AI101" s="1224">
        <v>3.1512555591517888E-2</v>
      </c>
      <c r="AJ101" s="1224">
        <v>3.4144932174930309E-2</v>
      </c>
      <c r="AK101" s="1224">
        <v>7.287350445012386E-2</v>
      </c>
      <c r="AL101" s="1224">
        <v>3.7235905722804219E-2</v>
      </c>
      <c r="AM101" s="1224">
        <v>2.9173071711708021E-2</v>
      </c>
      <c r="AN101" s="1224">
        <v>3.2615303996615719E-2</v>
      </c>
      <c r="AO101" s="1224">
        <v>6.0491195619492011E-2</v>
      </c>
      <c r="AP101" s="1224">
        <v>5.7214609761115476E-2</v>
      </c>
      <c r="AQ101" s="1224">
        <v>5.3560784129226491E-2</v>
      </c>
      <c r="AR101" s="1224">
        <v>3.0561143024307569E-2</v>
      </c>
      <c r="AS101" s="1224">
        <v>8.018433142380843E-2</v>
      </c>
    </row>
    <row r="102" spans="1:45" ht="15" x14ac:dyDescent="0.2">
      <c r="A102" s="1220">
        <v>63</v>
      </c>
      <c r="B102" s="169">
        <v>63</v>
      </c>
      <c r="C102" s="1228"/>
      <c r="D102" s="1228"/>
      <c r="E102" s="1228"/>
      <c r="F102" s="1225" t="s">
        <v>684</v>
      </c>
      <c r="G102" s="1226">
        <f t="shared" si="4"/>
        <v>1</v>
      </c>
      <c r="H102" s="1227" t="str">
        <f t="shared" si="3"/>
        <v>-</v>
      </c>
      <c r="J102" s="96" t="s">
        <v>87</v>
      </c>
      <c r="K102" s="1224">
        <v>3.915338655409939E-2</v>
      </c>
      <c r="L102" s="1224">
        <v>8.5929676120368503E-2</v>
      </c>
      <c r="M102" s="1224">
        <v>3.2245323503752976E-2</v>
      </c>
      <c r="N102" s="1224">
        <v>2.4413026207197541E-2</v>
      </c>
      <c r="O102" s="1224">
        <v>4.7391091987966538E-2</v>
      </c>
      <c r="P102" s="1224">
        <v>5.944941598552056E-2</v>
      </c>
      <c r="Q102" s="1224">
        <v>5.4209840413580235E-2</v>
      </c>
      <c r="R102" s="1224">
        <v>2.7176614281326561E-2</v>
      </c>
      <c r="S102" s="1224">
        <v>2.7174944121542088E-2</v>
      </c>
      <c r="T102" s="1224">
        <v>2.6058627444674576E-2</v>
      </c>
      <c r="U102" s="1224">
        <v>2.7706396118364118E-2</v>
      </c>
      <c r="V102" s="1224">
        <v>3.1636358864639336E-2</v>
      </c>
      <c r="W102" s="1224">
        <v>3.7462750820811186E-2</v>
      </c>
      <c r="X102" s="1224">
        <v>7.423122917999958E-2</v>
      </c>
      <c r="Y102" s="1224">
        <v>2.5744629698079446E-2</v>
      </c>
      <c r="Z102" s="1224">
        <v>5.841359780156874E-2</v>
      </c>
      <c r="AA102" s="1224">
        <v>2.2983330492977183E-2</v>
      </c>
      <c r="AB102" s="1224">
        <v>3.4764111369872452E-2</v>
      </c>
      <c r="AC102" s="1224">
        <v>4.09952571596921E-2</v>
      </c>
      <c r="AD102" s="1224">
        <v>6.3577101653951251E-2</v>
      </c>
      <c r="AE102" s="1224">
        <v>3.4600591226725097E-2</v>
      </c>
      <c r="AF102" s="1224">
        <v>3.9587324134333857E-2</v>
      </c>
      <c r="AG102" s="1224">
        <v>4.060026853960208E-2</v>
      </c>
      <c r="AH102" s="1224">
        <v>5.8146307810335696E-2</v>
      </c>
      <c r="AI102" s="1224">
        <v>3.1645522436262619E-2</v>
      </c>
      <c r="AJ102" s="1224">
        <v>3.4157018908477221E-2</v>
      </c>
      <c r="AK102" s="1224">
        <v>7.2786602074828677E-2</v>
      </c>
      <c r="AL102" s="1224">
        <v>3.7396824626639402E-2</v>
      </c>
      <c r="AM102" s="1224">
        <v>2.9264014691678053E-2</v>
      </c>
      <c r="AN102" s="1224">
        <v>3.2651548321530166E-2</v>
      </c>
      <c r="AO102" s="1224">
        <v>6.0679487549987199E-2</v>
      </c>
      <c r="AP102" s="1224">
        <v>5.7336430798311744E-2</v>
      </c>
      <c r="AQ102" s="1224">
        <v>5.3779358159820712E-2</v>
      </c>
      <c r="AR102" s="1224">
        <v>3.0630253152114983E-2</v>
      </c>
      <c r="AS102" s="1224">
        <v>8.0063175980814583E-2</v>
      </c>
    </row>
    <row r="103" spans="1:45" ht="15" x14ac:dyDescent="0.2">
      <c r="A103" s="1220">
        <v>64</v>
      </c>
      <c r="B103" s="169">
        <v>64</v>
      </c>
      <c r="C103" s="1228"/>
      <c r="D103" s="1228"/>
      <c r="E103" s="1228"/>
      <c r="F103" s="1225" t="s">
        <v>684</v>
      </c>
      <c r="G103" s="1226">
        <f t="shared" si="4"/>
        <v>1</v>
      </c>
      <c r="H103" s="1227" t="str">
        <f t="shared" si="3"/>
        <v>-</v>
      </c>
      <c r="J103" s="96" t="s">
        <v>87</v>
      </c>
      <c r="K103" s="1224">
        <v>3.9167839179278241E-2</v>
      </c>
      <c r="L103" s="1224">
        <v>8.5719632722347727E-2</v>
      </c>
      <c r="M103" s="1224">
        <v>3.2287029469029616E-2</v>
      </c>
      <c r="N103" s="1224">
        <v>2.4576591691062522E-2</v>
      </c>
      <c r="O103" s="1224">
        <v>4.7354853485974679E-2</v>
      </c>
      <c r="P103" s="1224">
        <v>5.9573586930142808E-2</v>
      </c>
      <c r="Q103" s="1224">
        <v>5.4066368902252249E-2</v>
      </c>
      <c r="R103" s="1224">
        <v>2.7297298610807097E-2</v>
      </c>
      <c r="S103" s="1224">
        <v>2.729569332228543E-2</v>
      </c>
      <c r="T103" s="1224">
        <v>2.6196690768952369E-2</v>
      </c>
      <c r="U103" s="1224">
        <v>2.7819020528571548E-2</v>
      </c>
      <c r="V103" s="1224">
        <v>3.1687625485179893E-2</v>
      </c>
      <c r="W103" s="1224">
        <v>3.7579041209220732E-2</v>
      </c>
      <c r="X103" s="1224">
        <v>7.4205369557452272E-2</v>
      </c>
      <c r="Y103" s="1224">
        <v>2.5887622345024619E-2</v>
      </c>
      <c r="Z103" s="1224">
        <v>5.8553870061236912E-2</v>
      </c>
      <c r="AA103" s="1224">
        <v>2.3169120048729841E-2</v>
      </c>
      <c r="AB103" s="1224">
        <v>3.4922366640360414E-2</v>
      </c>
      <c r="AC103" s="1224">
        <v>4.1056687697832883E-2</v>
      </c>
      <c r="AD103" s="1224">
        <v>6.3714799071399764E-2</v>
      </c>
      <c r="AE103" s="1224">
        <v>3.468357367253061E-2</v>
      </c>
      <c r="AF103" s="1224">
        <v>3.951653307627323E-2</v>
      </c>
      <c r="AG103" s="1224">
        <v>4.0667743665991463E-2</v>
      </c>
      <c r="AH103" s="1224">
        <v>5.8368005761394004E-2</v>
      </c>
      <c r="AI103" s="1224">
        <v>3.1774485959431109E-2</v>
      </c>
      <c r="AJ103" s="1224">
        <v>3.4168787159277292E-2</v>
      </c>
      <c r="AK103" s="1224">
        <v>7.2702526697170367E-2</v>
      </c>
      <c r="AL103" s="1224">
        <v>3.7552875803439578E-2</v>
      </c>
      <c r="AM103" s="1224">
        <v>2.9352237684708626E-2</v>
      </c>
      <c r="AN103" s="1224">
        <v>3.2686689448569339E-2</v>
      </c>
      <c r="AO103" s="1224">
        <v>6.0862060839381504E-2</v>
      </c>
      <c r="AP103" s="1224">
        <v>5.7454579926470739E-2</v>
      </c>
      <c r="AQ103" s="1224">
        <v>5.3991279250145796E-2</v>
      </c>
      <c r="AR103" s="1224">
        <v>3.0697346202138487E-2</v>
      </c>
      <c r="AS103" s="1224">
        <v>7.9945672588571215E-2</v>
      </c>
    </row>
    <row r="104" spans="1:45" ht="15" x14ac:dyDescent="0.2">
      <c r="A104" s="1220">
        <v>65</v>
      </c>
      <c r="B104" s="169">
        <v>65</v>
      </c>
      <c r="C104" s="1228"/>
      <c r="D104" s="1228"/>
      <c r="E104" s="1228"/>
      <c r="F104" s="1225" t="s">
        <v>684</v>
      </c>
      <c r="G104" s="1226">
        <f t="shared" si="4"/>
        <v>1</v>
      </c>
      <c r="H104" s="1227" t="str">
        <f t="shared" ref="H104:H128" si="5">IF($H$38,INDEX(K104:AS104,$H$38),"-")</f>
        <v>-</v>
      </c>
      <c r="J104" s="96" t="s">
        <v>87</v>
      </c>
      <c r="K104" s="1224">
        <v>3.9181754740684749E-2</v>
      </c>
      <c r="L104" s="1224">
        <v>8.5515962477390239E-2</v>
      </c>
      <c r="M104" s="1224">
        <v>3.2327534511945366E-2</v>
      </c>
      <c r="N104" s="1224">
        <v>2.4735270811646615E-2</v>
      </c>
      <c r="O104" s="1224">
        <v>4.731962482648111E-2</v>
      </c>
      <c r="P104" s="1224">
        <v>5.9694062991808128E-2</v>
      </c>
      <c r="Q104" s="1224">
        <v>5.3927206184310794E-2</v>
      </c>
      <c r="R104" s="1224">
        <v>2.7414394059021463E-2</v>
      </c>
      <c r="S104" s="1224">
        <v>2.7412857372139499E-2</v>
      </c>
      <c r="T104" s="1224">
        <v>2.6330641677653199E-2</v>
      </c>
      <c r="U104" s="1224">
        <v>2.792832269480372E-2</v>
      </c>
      <c r="V104" s="1224">
        <v>3.1737411638606439E-2</v>
      </c>
      <c r="W104" s="1224">
        <v>3.7691885333432928E-2</v>
      </c>
      <c r="X104" s="1224">
        <v>7.4180200115812278E-2</v>
      </c>
      <c r="Y104" s="1224">
        <v>2.60263605056128E-2</v>
      </c>
      <c r="Z104" s="1224">
        <v>5.8689962383805527E-2</v>
      </c>
      <c r="AA104" s="1224">
        <v>2.3349360163192445E-2</v>
      </c>
      <c r="AB104" s="1224">
        <v>3.507591187105219E-2</v>
      </c>
      <c r="AC104" s="1224">
        <v>4.1116356401194043E-2</v>
      </c>
      <c r="AD104" s="1224">
        <v>6.3848389827324992E-2</v>
      </c>
      <c r="AE104" s="1224">
        <v>3.4764111378824181E-2</v>
      </c>
      <c r="AF104" s="1224">
        <v>3.9447802415239153E-2</v>
      </c>
      <c r="AG104" s="1224">
        <v>4.0733257109554666E-2</v>
      </c>
      <c r="AH104" s="1224">
        <v>5.8583046600895194E-2</v>
      </c>
      <c r="AI104" s="1224">
        <v>3.1899615066935949E-2</v>
      </c>
      <c r="AJ104" s="1224">
        <v>3.4180249257988349E-2</v>
      </c>
      <c r="AK104" s="1224">
        <v>7.2621139676860125E-2</v>
      </c>
      <c r="AL104" s="1224">
        <v>3.7704267399173874E-2</v>
      </c>
      <c r="AM104" s="1224">
        <v>2.943785577858371E-2</v>
      </c>
      <c r="AN104" s="1224">
        <v>3.2720777730555151E-2</v>
      </c>
      <c r="AO104" s="1224">
        <v>6.1039163979368816E-2</v>
      </c>
      <c r="AP104" s="1224">
        <v>5.7569214758814491E-2</v>
      </c>
      <c r="AQ104" s="1224">
        <v>5.4196838210748721E-2</v>
      </c>
      <c r="AR104" s="1224">
        <v>3.0762499156485212E-2</v>
      </c>
      <c r="AS104" s="1224">
        <v>7.9831669474704992E-2</v>
      </c>
    </row>
    <row r="105" spans="1:45" ht="15" x14ac:dyDescent="0.2">
      <c r="A105" s="1220">
        <v>66</v>
      </c>
      <c r="B105" s="169">
        <v>66</v>
      </c>
      <c r="C105" s="1228"/>
      <c r="D105" s="1228"/>
      <c r="E105" s="1228"/>
      <c r="F105" s="1225" t="s">
        <v>684</v>
      </c>
      <c r="G105" s="1226">
        <f t="shared" si="4"/>
        <v>1</v>
      </c>
      <c r="H105" s="1227" t="str">
        <f t="shared" si="5"/>
        <v>-</v>
      </c>
      <c r="J105" s="96" t="s">
        <v>87</v>
      </c>
      <c r="K105" s="1224">
        <v>3.9195164601709465E-2</v>
      </c>
      <c r="L105" s="1224">
        <v>8.5318389264619654E-2</v>
      </c>
      <c r="M105" s="1224">
        <v>3.236688805650223E-2</v>
      </c>
      <c r="N105" s="1224">
        <v>2.4889270140687536E-2</v>
      </c>
      <c r="O105" s="1224">
        <v>4.7285369780854181E-2</v>
      </c>
      <c r="P105" s="1224">
        <v>5.9811000656835756E-2</v>
      </c>
      <c r="Q105" s="1224">
        <v>5.3792170275686724E-2</v>
      </c>
      <c r="R105" s="1224">
        <v>2.7528051990758806E-2</v>
      </c>
      <c r="S105" s="1224">
        <v>2.752658583114842E-2</v>
      </c>
      <c r="T105" s="1224">
        <v>2.6460653089061648E-2</v>
      </c>
      <c r="U105" s="1224">
        <v>2.8034434817863607E-2</v>
      </c>
      <c r="V105" s="1224">
        <v>3.1785777105986623E-2</v>
      </c>
      <c r="W105" s="1224">
        <v>3.7801425851563097E-2</v>
      </c>
      <c r="X105" s="1224">
        <v>7.4155698744601484E-2</v>
      </c>
      <c r="Y105" s="1224">
        <v>2.6161020555564019E-2</v>
      </c>
      <c r="Z105" s="1224">
        <v>5.8822051338976333E-2</v>
      </c>
      <c r="AA105" s="1224">
        <v>2.3524281325806529E-2</v>
      </c>
      <c r="AB105" s="1224">
        <v>3.5224939699813218E-2</v>
      </c>
      <c r="AC105" s="1224">
        <v>4.1174328001878147E-2</v>
      </c>
      <c r="AD105" s="1224">
        <v>6.3978048727349579E-2</v>
      </c>
      <c r="AE105" s="1224">
        <v>3.4842306251156252E-2</v>
      </c>
      <c r="AF105" s="1224">
        <v>3.9381052686916052E-2</v>
      </c>
      <c r="AG105" s="1224">
        <v>4.0796887077275912E-2</v>
      </c>
      <c r="AH105" s="1224">
        <v>5.8791717844124181E-2</v>
      </c>
      <c r="AI105" s="1224">
        <v>3.2021070162018272E-2</v>
      </c>
      <c r="AJ105" s="1224">
        <v>3.4191416883105674E-2</v>
      </c>
      <c r="AK105" s="1224">
        <v>7.2542311386037062E-2</v>
      </c>
      <c r="AL105" s="1224">
        <v>3.7851196750034788E-2</v>
      </c>
      <c r="AM105" s="1224">
        <v>2.9520978001059683E-2</v>
      </c>
      <c r="AN105" s="1224">
        <v>3.2753860481071317E-2</v>
      </c>
      <c r="AO105" s="1224">
        <v>6.1211031957699946E-2</v>
      </c>
      <c r="AP105" s="1224">
        <v>5.7680484435370216E-2</v>
      </c>
      <c r="AQ105" s="1224">
        <v>5.4396309868022907E-2</v>
      </c>
      <c r="AR105" s="1224">
        <v>3.0825786178679149E-2</v>
      </c>
      <c r="AS105" s="1224">
        <v>7.9721022049581203E-2</v>
      </c>
    </row>
    <row r="106" spans="1:45" ht="15" x14ac:dyDescent="0.2">
      <c r="A106" s="1220">
        <v>67</v>
      </c>
      <c r="B106" s="169">
        <v>67</v>
      </c>
      <c r="C106" s="1228"/>
      <c r="D106" s="1228"/>
      <c r="E106" s="1228"/>
      <c r="F106" s="1225" t="s">
        <v>684</v>
      </c>
      <c r="G106" s="1226">
        <f t="shared" si="4"/>
        <v>1</v>
      </c>
      <c r="H106" s="1227" t="str">
        <f t="shared" si="5"/>
        <v>-</v>
      </c>
      <c r="J106" s="96" t="s">
        <v>87</v>
      </c>
      <c r="K106" s="1224">
        <v>3.9208097731188163E-2</v>
      </c>
      <c r="L106" s="1224">
        <v>8.5126651729216629E-2</v>
      </c>
      <c r="M106" s="1224">
        <v>3.2405136901958898E-2</v>
      </c>
      <c r="N106" s="1224">
        <v>2.5038785697787391E-2</v>
      </c>
      <c r="O106" s="1224">
        <v>4.7252053398075589E-2</v>
      </c>
      <c r="P106" s="1224">
        <v>5.9924548158046376E-2</v>
      </c>
      <c r="Q106" s="1224">
        <v>5.3661088369058252E-2</v>
      </c>
      <c r="R106" s="1224">
        <v>2.7638415894289281E-2</v>
      </c>
      <c r="S106" s="1224">
        <v>2.7637020771728915E-2</v>
      </c>
      <c r="T106" s="1224">
        <v>2.6586889128082269E-2</v>
      </c>
      <c r="U106" s="1224">
        <v>2.8137483785696027E-2</v>
      </c>
      <c r="V106" s="1224">
        <v>3.1832778686619267E-2</v>
      </c>
      <c r="W106" s="1224">
        <v>3.7907798450635299E-2</v>
      </c>
      <c r="X106" s="1224">
        <v>7.4131843842677236E-2</v>
      </c>
      <c r="Y106" s="1224">
        <v>2.6291770462316899E-2</v>
      </c>
      <c r="Z106" s="1224">
        <v>5.8950304352201277E-2</v>
      </c>
      <c r="AA106" s="1224">
        <v>2.3694103414919176E-2</v>
      </c>
      <c r="AB106" s="1224">
        <v>3.5369634390499227E-2</v>
      </c>
      <c r="AC106" s="1224">
        <v>4.1230665228086272E-2</v>
      </c>
      <c r="AD106" s="1224">
        <v>6.4103941276272947E-2</v>
      </c>
      <c r="AE106" s="1224">
        <v>3.4918254910126567E-2</v>
      </c>
      <c r="AF106" s="1224">
        <v>3.9316207491324029E-2</v>
      </c>
      <c r="AG106" s="1224">
        <v>4.0858708171929603E-2</v>
      </c>
      <c r="AH106" s="1224">
        <v>5.899429139053769E-2</v>
      </c>
      <c r="AI106" s="1224">
        <v>3.2139003587374537E-2</v>
      </c>
      <c r="AJ106" s="1224">
        <v>3.4202301105779043E-2</v>
      </c>
      <c r="AK106" s="1224">
        <v>7.2465920490574653E-2</v>
      </c>
      <c r="AL106" s="1224">
        <v>3.7993850987825484E-2</v>
      </c>
      <c r="AM106" s="1224">
        <v>2.9601707691258916E-2</v>
      </c>
      <c r="AN106" s="1224">
        <v>3.2785982200827624E-2</v>
      </c>
      <c r="AO106" s="1224">
        <v>6.1377887105027229E-2</v>
      </c>
      <c r="AP106" s="1224">
        <v>5.7788530155796325E-2</v>
      </c>
      <c r="AQ106" s="1224">
        <v>5.4589954085708658E-2</v>
      </c>
      <c r="AR106" s="1224">
        <v>3.0887278611154034E-2</v>
      </c>
      <c r="AS106" s="1224">
        <v>7.9613592609500072E-2</v>
      </c>
    </row>
    <row r="107" spans="1:45" ht="15" x14ac:dyDescent="0.2">
      <c r="A107" s="1220">
        <v>68</v>
      </c>
      <c r="B107" s="169">
        <v>68</v>
      </c>
      <c r="C107" s="1228"/>
      <c r="D107" s="1228"/>
      <c r="E107" s="1228"/>
      <c r="F107" s="1225" t="s">
        <v>684</v>
      </c>
      <c r="G107" s="1226">
        <f t="shared" si="4"/>
        <v>1</v>
      </c>
      <c r="H107" s="1227" t="str">
        <f t="shared" si="5"/>
        <v>-</v>
      </c>
      <c r="J107" s="96" t="s">
        <v>87</v>
      </c>
      <c r="K107" s="1224">
        <v>3.9220580918563286E-2</v>
      </c>
      <c r="L107" s="1224">
        <v>8.4940502405772333E-2</v>
      </c>
      <c r="M107" s="1224">
        <v>3.2442325395132254E-2</v>
      </c>
      <c r="N107" s="1224">
        <v>2.5184003517338516E-2</v>
      </c>
      <c r="O107" s="1224">
        <v>4.7219641991573358E-2</v>
      </c>
      <c r="P107" s="1224">
        <v>6.0034845976659978E-2</v>
      </c>
      <c r="Q107" s="1224">
        <v>5.3533796360548669E-2</v>
      </c>
      <c r="R107" s="1224">
        <v>2.7745621844442514E-2</v>
      </c>
      <c r="S107" s="1224">
        <v>2.7744297171987453E-2</v>
      </c>
      <c r="T107" s="1224">
        <v>2.6709505602686923E-2</v>
      </c>
      <c r="U107" s="1224">
        <v>2.8237591206079715E-2</v>
      </c>
      <c r="V107" s="1224">
        <v>3.1878470371138334E-2</v>
      </c>
      <c r="W107" s="1224">
        <v>3.8011132186116736E-2</v>
      </c>
      <c r="X107" s="1224">
        <v>7.410861435156213E-2</v>
      </c>
      <c r="Y107" s="1224">
        <v>2.6418770133749048E-2</v>
      </c>
      <c r="Z107" s="1224">
        <v>5.9074880229081916E-2</v>
      </c>
      <c r="AA107" s="1224">
        <v>2.3859036009092005E-2</v>
      </c>
      <c r="AB107" s="1224">
        <v>3.5510171983493821E-2</v>
      </c>
      <c r="AC107" s="1224">
        <v>4.1285428724873396E-2</v>
      </c>
      <c r="AD107" s="1224">
        <v>6.4226224251393571E-2</v>
      </c>
      <c r="AE107" s="1224">
        <v>3.4992049010151627E-2</v>
      </c>
      <c r="AF107" s="1224">
        <v>3.9253193465257574E-2</v>
      </c>
      <c r="AG107" s="1224">
        <v>4.0918791553013811E-2</v>
      </c>
      <c r="AH107" s="1224">
        <v>5.9191024506631384E-2</v>
      </c>
      <c r="AI107" s="1224">
        <v>3.2253560049786634E-2</v>
      </c>
      <c r="AJ107" s="1224">
        <v>3.4212912430829689E-2</v>
      </c>
      <c r="AK107" s="1224">
        <v>7.2391853298346742E-2</v>
      </c>
      <c r="AL107" s="1224">
        <v>3.8132407614600572E-2</v>
      </c>
      <c r="AM107" s="1224">
        <v>2.9680142845487367E-2</v>
      </c>
      <c r="AN107" s="1224">
        <v>3.2817184784167397E-2</v>
      </c>
      <c r="AO107" s="1224">
        <v>6.1539939883873185E-2</v>
      </c>
      <c r="AP107" s="1224">
        <v>5.789348567444752E-2</v>
      </c>
      <c r="AQ107" s="1224">
        <v>5.4778016714430944E-2</v>
      </c>
      <c r="AR107" s="1224">
        <v>3.0947044997592155E-2</v>
      </c>
      <c r="AS107" s="1224">
        <v>7.9509250037857582E-2</v>
      </c>
    </row>
    <row r="108" spans="1:45" ht="15" x14ac:dyDescent="0.2">
      <c r="A108" s="1220">
        <v>69</v>
      </c>
      <c r="B108" s="169">
        <v>69</v>
      </c>
      <c r="C108" s="1228"/>
      <c r="D108" s="1228"/>
      <c r="E108" s="1228"/>
      <c r="F108" s="1225" t="s">
        <v>684</v>
      </c>
      <c r="G108" s="1226">
        <f t="shared" si="4"/>
        <v>1</v>
      </c>
      <c r="H108" s="1227" t="str">
        <f t="shared" si="5"/>
        <v>-</v>
      </c>
      <c r="J108" s="96" t="s">
        <v>87</v>
      </c>
      <c r="K108" s="1224">
        <v>3.9232638967414468E-2</v>
      </c>
      <c r="L108" s="1224">
        <v>8.4759706892801878E-2</v>
      </c>
      <c r="M108" s="1224">
        <v>3.2478495589038481E-2</v>
      </c>
      <c r="N108" s="1224">
        <v>2.5325100190927374E-2</v>
      </c>
      <c r="O108" s="1224">
        <v>4.7188103119863545E-2</v>
      </c>
      <c r="P108" s="1224">
        <v>6.0142027310754465E-2</v>
      </c>
      <c r="Q108" s="1224">
        <v>5.3410138393732876E-2</v>
      </c>
      <c r="R108" s="1224">
        <v>2.7849798937127357E-2</v>
      </c>
      <c r="S108" s="1224">
        <v>2.7848543292117389E-2</v>
      </c>
      <c r="T108" s="1224">
        <v>2.6828650458005976E-2</v>
      </c>
      <c r="U108" s="1224">
        <v>2.8334873486403511E-2</v>
      </c>
      <c r="V108" s="1224">
        <v>3.1922903503213362E-2</v>
      </c>
      <c r="W108" s="1224">
        <v>3.8111549811426615E-2</v>
      </c>
      <c r="X108" s="1224">
        <v>7.4085989779719252E-2</v>
      </c>
      <c r="Y108" s="1224">
        <v>2.6542171771084311E-2</v>
      </c>
      <c r="Z108" s="1224">
        <v>5.9195929649979329E-2</v>
      </c>
      <c r="AA108" s="1224">
        <v>2.4019278741841843E-2</v>
      </c>
      <c r="AB108" s="1224">
        <v>3.5646720502889195E-2</v>
      </c>
      <c r="AC108" s="1224">
        <v>4.1338677009483904E-2</v>
      </c>
      <c r="AD108" s="1224">
        <v>6.4345046236843784E-2</v>
      </c>
      <c r="AE108" s="1224">
        <v>3.5063775536656738E-2</v>
      </c>
      <c r="AF108" s="1224">
        <v>3.9191940233924472E-2</v>
      </c>
      <c r="AG108" s="1224">
        <v>4.0977205093915448E-2</v>
      </c>
      <c r="AH108" s="1224">
        <v>5.9382160741278778E-2</v>
      </c>
      <c r="AI108" s="1224">
        <v>3.2364877026602956E-2</v>
      </c>
      <c r="AJ108" s="1224">
        <v>3.4223260834351787E-2</v>
      </c>
      <c r="AK108" s="1224">
        <v>7.2320003167367863E-2</v>
      </c>
      <c r="AL108" s="1224">
        <v>3.8267035047098386E-2</v>
      </c>
      <c r="AM108" s="1224">
        <v>2.9756376439425303E-2</v>
      </c>
      <c r="AN108" s="1224">
        <v>3.2847507707561396E-2</v>
      </c>
      <c r="AO108" s="1224">
        <v>6.169738962381266E-2</v>
      </c>
      <c r="AP108" s="1224">
        <v>5.7995477760639957E-2</v>
      </c>
      <c r="AQ108" s="1224">
        <v>5.4960730474625796E-2</v>
      </c>
      <c r="AR108" s="1224">
        <v>3.1005151124740449E-2</v>
      </c>
      <c r="AS108" s="1224">
        <v>7.9407869507786666E-2</v>
      </c>
    </row>
    <row r="109" spans="1:45" ht="15" x14ac:dyDescent="0.2">
      <c r="A109" s="1220">
        <v>70</v>
      </c>
      <c r="B109" s="169">
        <v>70</v>
      </c>
      <c r="C109" s="1228"/>
      <c r="D109" s="1228"/>
      <c r="E109" s="1228"/>
      <c r="F109" s="1225" t="s">
        <v>684</v>
      </c>
      <c r="G109" s="1226">
        <f t="shared" si="4"/>
        <v>1</v>
      </c>
      <c r="H109" s="1227" t="str">
        <f t="shared" si="5"/>
        <v>-</v>
      </c>
      <c r="J109" s="96" t="s">
        <v>87</v>
      </c>
      <c r="K109" s="1224">
        <v>3.9244294869763108E-2</v>
      </c>
      <c r="L109" s="1224">
        <v>8.4584043076280535E-2</v>
      </c>
      <c r="M109" s="1224">
        <v>3.2513687389158052E-2</v>
      </c>
      <c r="N109" s="1224">
        <v>2.5462243384707595E-2</v>
      </c>
      <c r="O109" s="1224">
        <v>4.7157405562275878E-2</v>
      </c>
      <c r="P109" s="1224">
        <v>6.0246218512631566E-2</v>
      </c>
      <c r="Q109" s="1224">
        <v>5.3289966422021662E-2</v>
      </c>
      <c r="R109" s="1224">
        <v>2.7951069696955155E-2</v>
      </c>
      <c r="S109" s="1224">
        <v>2.7949881033653146E-2</v>
      </c>
      <c r="T109" s="1224">
        <v>2.6944464208148222E-2</v>
      </c>
      <c r="U109" s="1224">
        <v>2.8429441948821355E-2</v>
      </c>
      <c r="V109" s="1224">
        <v>3.196612693069345E-2</v>
      </c>
      <c r="W109" s="1224">
        <v>3.8209168096215551E-2</v>
      </c>
      <c r="X109" s="1224">
        <v>7.4063950219215302E-2</v>
      </c>
      <c r="Y109" s="1224">
        <v>2.6662120221122132E-2</v>
      </c>
      <c r="Z109" s="1224">
        <v>5.9313595636103056E-2</v>
      </c>
      <c r="AA109" s="1224">
        <v>2.4175021684814668E-2</v>
      </c>
      <c r="AB109" s="1224">
        <v>3.5779440204142254E-2</v>
      </c>
      <c r="AC109" s="1224">
        <v>4.1390466454412023E-2</v>
      </c>
      <c r="AD109" s="1224">
        <v>6.4460548121756167E-2</v>
      </c>
      <c r="AE109" s="1224">
        <v>3.5133517083306032E-2</v>
      </c>
      <c r="AF109" s="1224">
        <v>3.9132380346575291E-2</v>
      </c>
      <c r="AG109" s="1224">
        <v>4.1034013534670288E-2</v>
      </c>
      <c r="AH109" s="1224">
        <v>5.9567930778330336E-2</v>
      </c>
      <c r="AI109" s="1224">
        <v>3.2473085153776893E-2</v>
      </c>
      <c r="AJ109" s="1224">
        <v>3.4233355798233722E-2</v>
      </c>
      <c r="AK109" s="1224">
        <v>7.2250269967581326E-2</v>
      </c>
      <c r="AL109" s="1224">
        <v>3.8397893131755234E-2</v>
      </c>
      <c r="AM109" s="1224">
        <v>2.9830496728476819E-2</v>
      </c>
      <c r="AN109" s="1224">
        <v>3.287698820199414E-2</v>
      </c>
      <c r="AO109" s="1224">
        <v>6.1850425206684267E-2</v>
      </c>
      <c r="AP109" s="1224">
        <v>5.8094626626823853E-2</v>
      </c>
      <c r="AQ109" s="1224">
        <v>5.5138315777808922E-2</v>
      </c>
      <c r="AR109" s="1224">
        <v>3.1061660079251041E-2</v>
      </c>
      <c r="AS109" s="1224">
        <v>7.9309332189006154E-2</v>
      </c>
    </row>
    <row r="110" spans="1:45" ht="15" x14ac:dyDescent="0.2">
      <c r="A110" s="1220">
        <v>71</v>
      </c>
      <c r="B110" s="169">
        <v>71</v>
      </c>
      <c r="C110" s="1228"/>
      <c r="D110" s="1228"/>
      <c r="E110" s="1228"/>
      <c r="F110" s="1225" t="s">
        <v>684</v>
      </c>
      <c r="G110" s="1226">
        <f t="shared" si="4"/>
        <v>1</v>
      </c>
      <c r="H110" s="1227" t="str">
        <f t="shared" si="5"/>
        <v>-</v>
      </c>
      <c r="J110" s="96" t="s">
        <v>87</v>
      </c>
      <c r="K110" s="1224">
        <v>3.9255569963214887E-2</v>
      </c>
      <c r="L110" s="1224">
        <v>8.4413300399962754E-2</v>
      </c>
      <c r="M110" s="1224">
        <v>3.2547938688462175E-2</v>
      </c>
      <c r="N110" s="1224">
        <v>2.5595592331649764E-2</v>
      </c>
      <c r="O110" s="1224">
        <v>4.7127519290844022E-2</v>
      </c>
      <c r="P110" s="1224">
        <v>6.0347539497257463E-2</v>
      </c>
      <c r="Q110" s="1224">
        <v>5.3173139790057E-2</v>
      </c>
      <c r="R110" s="1224">
        <v>2.8049550459567918E-2</v>
      </c>
      <c r="S110" s="1224">
        <v>2.8048426281600536E-2</v>
      </c>
      <c r="T110" s="1224">
        <v>2.7057080346063245E-2</v>
      </c>
      <c r="U110" s="1224">
        <v>2.8521402971390275E-2</v>
      </c>
      <c r="V110" s="1224">
        <v>3.2008187146973954E-2</v>
      </c>
      <c r="W110" s="1224">
        <v>3.8304098132590392E-2</v>
      </c>
      <c r="X110" s="1224">
        <v>7.4042476355995257E-2</v>
      </c>
      <c r="Y110" s="1224">
        <v>2.6778753324048887E-2</v>
      </c>
      <c r="Z110" s="1224">
        <v>5.9428013988409356E-2</v>
      </c>
      <c r="AA110" s="1224">
        <v>2.4326445747697711E-2</v>
      </c>
      <c r="AB110" s="1224">
        <v>3.5908483849450112E-2</v>
      </c>
      <c r="AC110" s="1224">
        <v>4.1440851292520176E-2</v>
      </c>
      <c r="AD110" s="1224">
        <v>6.4572863564877236E-2</v>
      </c>
      <c r="AE110" s="1224">
        <v>3.5201352110749706E-2</v>
      </c>
      <c r="AF110" s="1224">
        <v>3.9074449200052541E-2</v>
      </c>
      <c r="AG110" s="1224">
        <v>4.108927862985623E-2</v>
      </c>
      <c r="AH110" s="1224">
        <v>5.9748553230935642E-2</v>
      </c>
      <c r="AI110" s="1224">
        <v>3.2578308595432093E-2</v>
      </c>
      <c r="AJ110" s="1224">
        <v>3.4243206341892929E-2</v>
      </c>
      <c r="AK110" s="1224">
        <v>7.218255959076525E-2</v>
      </c>
      <c r="AL110" s="1224">
        <v>3.8525133631240216E-2</v>
      </c>
      <c r="AM110" s="1224">
        <v>2.990258752791064E-2</v>
      </c>
      <c r="AN110" s="1224">
        <v>3.2905661410813192E-2</v>
      </c>
      <c r="AO110" s="1224">
        <v>6.1999225705381189E-2</v>
      </c>
      <c r="AP110" s="1224">
        <v>5.8191046327137563E-2</v>
      </c>
      <c r="AQ110" s="1224">
        <v>5.5310981490765521E-2</v>
      </c>
      <c r="AR110" s="1224">
        <v>3.1116632315907999E-2</v>
      </c>
      <c r="AS110" s="1224">
        <v>7.9213524960970672E-2</v>
      </c>
    </row>
    <row r="111" spans="1:45" ht="15" x14ac:dyDescent="0.2">
      <c r="A111" s="1220">
        <v>72</v>
      </c>
      <c r="B111" s="169">
        <v>72</v>
      </c>
      <c r="C111" s="1228"/>
      <c r="D111" s="1228"/>
      <c r="E111" s="1228"/>
      <c r="F111" s="1225" t="s">
        <v>684</v>
      </c>
      <c r="G111" s="1226">
        <f t="shared" si="4"/>
        <v>1</v>
      </c>
      <c r="H111" s="1227" t="str">
        <f t="shared" si="5"/>
        <v>-</v>
      </c>
      <c r="J111" s="96" t="s">
        <v>87</v>
      </c>
      <c r="K111" s="1224">
        <v>3.9266484072809416E-2</v>
      </c>
      <c r="L111" s="1224">
        <v>8.4247279180173607E-2</v>
      </c>
      <c r="M111" s="1224">
        <v>3.2581285492228051E-2</v>
      </c>
      <c r="N111" s="1224">
        <v>2.5725298298894694E-2</v>
      </c>
      <c r="O111" s="1224">
        <v>4.7098415439267294E-2</v>
      </c>
      <c r="P111" s="1224">
        <v>6.0446104123822009E-2</v>
      </c>
      <c r="Q111" s="1224">
        <v>5.3059524834386362E-2</v>
      </c>
      <c r="R111" s="1224">
        <v>2.8145351730202162E-2</v>
      </c>
      <c r="S111" s="1224">
        <v>2.8144289229650177E-2</v>
      </c>
      <c r="T111" s="1224">
        <v>2.7166625731945171E-2</v>
      </c>
      <c r="U111" s="1224">
        <v>2.8610858147668727E-2</v>
      </c>
      <c r="V111" s="1224">
        <v>3.2049128423297102E-2</v>
      </c>
      <c r="W111" s="1224">
        <v>3.8396445628780196E-2</v>
      </c>
      <c r="X111" s="1224">
        <v>7.4021549474822868E-2</v>
      </c>
      <c r="Y111" s="1224">
        <v>2.6892202254007902E-2</v>
      </c>
      <c r="Z111" s="1224">
        <v>5.9539313700633034E-2</v>
      </c>
      <c r="AA111" s="1224">
        <v>2.447372308582807E-2</v>
      </c>
      <c r="AB111" s="1224">
        <v>3.6033997000836537E-2</v>
      </c>
      <c r="AC111" s="1224">
        <v>4.1489883639543423E-2</v>
      </c>
      <c r="AD111" s="1224">
        <v>6.4682119428043805E-2</v>
      </c>
      <c r="AE111" s="1224">
        <v>3.5267355188246752E-2</v>
      </c>
      <c r="AF111" s="1224">
        <v>3.9018084953486687E-2</v>
      </c>
      <c r="AG111" s="1224">
        <v>4.1143059291299355E-2</v>
      </c>
      <c r="AH111" s="1224">
        <v>5.9924235381749513E-2</v>
      </c>
      <c r="AI111" s="1224">
        <v>3.2680665395150799E-2</v>
      </c>
      <c r="AJ111" s="1224">
        <v>3.4252821051492299E-2</v>
      </c>
      <c r="AK111" s="1224">
        <v>7.2116783503685111E-2</v>
      </c>
      <c r="AL111" s="1224">
        <v>3.8648900683582621E-2</v>
      </c>
      <c r="AM111" s="1224">
        <v>2.9972728474298993E-2</v>
      </c>
      <c r="AN111" s="1224">
        <v>3.2933560534404105E-2</v>
      </c>
      <c r="AO111" s="1224">
        <v>6.2143960979524238E-2</v>
      </c>
      <c r="AP111" s="1224">
        <v>5.828484512861043E-2</v>
      </c>
      <c r="AQ111" s="1224">
        <v>5.5478925646895272E-2</v>
      </c>
      <c r="AR111" s="1224">
        <v>3.1170125734252929E-2</v>
      </c>
      <c r="AS111" s="1224">
        <v>7.9120340133878697E-2</v>
      </c>
    </row>
    <row r="112" spans="1:45" ht="15" x14ac:dyDescent="0.2">
      <c r="A112" s="1220">
        <v>73</v>
      </c>
      <c r="B112" s="169">
        <v>73</v>
      </c>
      <c r="C112" s="1228"/>
      <c r="D112" s="1228"/>
      <c r="E112" s="1228"/>
      <c r="F112" s="1225" t="s">
        <v>684</v>
      </c>
      <c r="G112" s="1226">
        <f t="shared" si="4"/>
        <v>1</v>
      </c>
      <c r="H112" s="1227" t="str">
        <f t="shared" si="5"/>
        <v>-</v>
      </c>
      <c r="J112" s="96" t="s">
        <v>87</v>
      </c>
      <c r="K112" s="1224">
        <v>3.9277055639192815E-2</v>
      </c>
      <c r="L112" s="1224">
        <v>8.4085789962763613E-2</v>
      </c>
      <c r="M112" s="1224">
        <v>3.2613762033543603E-2</v>
      </c>
      <c r="N112" s="1224">
        <v>2.585150503067668E-2</v>
      </c>
      <c r="O112" s="1224">
        <v>4.7070066269700561E-2</v>
      </c>
      <c r="P112" s="1224">
        <v>6.0542020552279086E-2</v>
      </c>
      <c r="Q112" s="1224">
        <v>5.2948994503409397E-2</v>
      </c>
      <c r="R112" s="1224">
        <v>2.8238578519949487E-2</v>
      </c>
      <c r="S112" s="1224">
        <v>2.8237574688809941E-2</v>
      </c>
      <c r="T112" s="1224">
        <v>2.7273220960805755E-2</v>
      </c>
      <c r="U112" s="1224">
        <v>2.8697904458780732E-2</v>
      </c>
      <c r="V112" s="1224">
        <v>3.2088992932638671E-2</v>
      </c>
      <c r="W112" s="1224">
        <v>3.8486311189974476E-2</v>
      </c>
      <c r="X112" s="1224">
        <v>7.400115145978492E-2</v>
      </c>
      <c r="Y112" s="1224">
        <v>2.7002591850321389E-2</v>
      </c>
      <c r="Z112" s="1224">
        <v>5.9647617347790227E-2</v>
      </c>
      <c r="AA112" s="1224">
        <v>2.461701750857137E-2</v>
      </c>
      <c r="AB112" s="1224">
        <v>3.6156118323135367E-2</v>
      </c>
      <c r="AC112" s="1224">
        <v>4.1537613530129747E-2</v>
      </c>
      <c r="AD112" s="1224">
        <v>6.4788436180755804E-2</v>
      </c>
      <c r="AE112" s="1224">
        <v>3.5331597219413702E-2</v>
      </c>
      <c r="AF112" s="1224">
        <v>3.896322843677269E-2</v>
      </c>
      <c r="AG112" s="1224">
        <v>4.1195411725385878E-2</v>
      </c>
      <c r="AH112" s="1224">
        <v>6.0095173872888097E-2</v>
      </c>
      <c r="AI112" s="1224">
        <v>3.2780267809325636E-2</v>
      </c>
      <c r="AJ112" s="1224">
        <v>3.4262208106875303E-2</v>
      </c>
      <c r="AK112" s="1224">
        <v>7.2052858340158066E-2</v>
      </c>
      <c r="AL112" s="1224">
        <v>3.8769331235033677E-2</v>
      </c>
      <c r="AM112" s="1224">
        <v>3.0040995269627002E-2</v>
      </c>
      <c r="AN112" s="1224">
        <v>3.2960716963024383E-2</v>
      </c>
      <c r="AO112" s="1224">
        <v>6.2284792231087849E-2</v>
      </c>
      <c r="AP112" s="1224">
        <v>5.8376125857087624E-2</v>
      </c>
      <c r="AQ112" s="1224">
        <v>5.5642336108622903E-2</v>
      </c>
      <c r="AR112" s="1224">
        <v>3.1222195761176019E-2</v>
      </c>
      <c r="AS112" s="1224">
        <v>7.9029675178681202E-2</v>
      </c>
    </row>
    <row r="113" spans="1:45" ht="15" x14ac:dyDescent="0.2">
      <c r="A113" s="1220">
        <v>74</v>
      </c>
      <c r="B113" s="169">
        <v>74</v>
      </c>
      <c r="C113" s="1228"/>
      <c r="D113" s="1228"/>
      <c r="E113" s="1228"/>
      <c r="F113" s="1225" t="s">
        <v>684</v>
      </c>
      <c r="G113" s="1226">
        <f t="shared" si="4"/>
        <v>1</v>
      </c>
      <c r="H113" s="1227" t="str">
        <f t="shared" si="5"/>
        <v>-</v>
      </c>
      <c r="J113" s="96" t="s">
        <v>87</v>
      </c>
      <c r="K113" s="1224">
        <v>3.9287301834555199E-2</v>
      </c>
      <c r="L113" s="1224">
        <v>8.3928652919927238E-2</v>
      </c>
      <c r="M113" s="1224">
        <v>3.2645400880331188E-2</v>
      </c>
      <c r="N113" s="1224">
        <v>2.597434916746244E-2</v>
      </c>
      <c r="O113" s="1224">
        <v>4.7042445138005595E-2</v>
      </c>
      <c r="P113" s="1224">
        <v>6.0635391576623565E-2</v>
      </c>
      <c r="Q113" s="1224">
        <v>5.2841427996379808E-2</v>
      </c>
      <c r="R113" s="1224">
        <v>2.8329330661093222E-2</v>
      </c>
      <c r="S113" s="1224">
        <v>2.8328382379913863E-2</v>
      </c>
      <c r="T113" s="1224">
        <v>2.7376980709937992E-2</v>
      </c>
      <c r="U113" s="1224">
        <v>2.8782634453189404E-2</v>
      </c>
      <c r="V113" s="1224">
        <v>3.2127820865784029E-2</v>
      </c>
      <c r="W113" s="1224">
        <v>3.8573790586281298E-2</v>
      </c>
      <c r="X113" s="1224">
        <v>7.3981264791131096E-2</v>
      </c>
      <c r="Y113" s="1224">
        <v>2.7110040937861957E-2</v>
      </c>
      <c r="Z113" s="1224">
        <v>5.9753041451459321E-2</v>
      </c>
      <c r="AA113" s="1224">
        <v>2.4756484883231122E-2</v>
      </c>
      <c r="AB113" s="1224">
        <v>3.6274979890831505E-2</v>
      </c>
      <c r="AC113" s="1224">
        <v>4.1584088964252697E-2</v>
      </c>
      <c r="AD113" s="1224">
        <v>6.4891928277921673E-2</v>
      </c>
      <c r="AE113" s="1224">
        <v>3.5394145653247611E-2</v>
      </c>
      <c r="AF113" s="1224">
        <v>3.8909823054964709E-2</v>
      </c>
      <c r="AG113" s="1224">
        <v>4.1246389564866259E-2</v>
      </c>
      <c r="AH113" s="1224">
        <v>6.0261555349236273E-2</v>
      </c>
      <c r="AI113" s="1224">
        <v>3.2877222623050928E-2</v>
      </c>
      <c r="AJ113" s="1224">
        <v>3.4271375306426988E-2</v>
      </c>
      <c r="AK113" s="1224">
        <v>7.1990705528169441E-2</v>
      </c>
      <c r="AL113" s="1224">
        <v>3.8886555447851245E-2</v>
      </c>
      <c r="AM113" s="1224">
        <v>3.0107459909344936E-2</v>
      </c>
      <c r="AN113" s="1224">
        <v>3.2987160398849191E-2</v>
      </c>
      <c r="AO113" s="1224">
        <v>6.2421872522829602E-2</v>
      </c>
      <c r="AP113" s="1224">
        <v>5.8464986219779469E-2</v>
      </c>
      <c r="AQ113" s="1224">
        <v>5.5801391184488347E-2</v>
      </c>
      <c r="AR113" s="1224">
        <v>3.1272895437472359E-2</v>
      </c>
      <c r="AS113" s="1224">
        <v>7.8941432466883565E-2</v>
      </c>
    </row>
    <row r="114" spans="1:45" ht="15" x14ac:dyDescent="0.2">
      <c r="A114" s="1220">
        <v>75</v>
      </c>
      <c r="B114" s="169">
        <v>75</v>
      </c>
      <c r="C114" s="1228"/>
      <c r="D114" s="1228"/>
      <c r="E114" s="1228"/>
      <c r="F114" s="1225" t="s">
        <v>684</v>
      </c>
      <c r="G114" s="1226">
        <f t="shared" si="4"/>
        <v>1</v>
      </c>
      <c r="H114" s="1227" t="str">
        <f t="shared" si="5"/>
        <v>-</v>
      </c>
      <c r="J114" s="96" t="s">
        <v>87</v>
      </c>
      <c r="K114" s="1224">
        <v>3.9297238667627132E-2</v>
      </c>
      <c r="L114" s="1224">
        <v>8.3775697284634632E-2</v>
      </c>
      <c r="M114" s="1224">
        <v>3.2676233034618862E-2</v>
      </c>
      <c r="N114" s="1224">
        <v>2.6093960642086023E-2</v>
      </c>
      <c r="O114" s="1224">
        <v>4.7015526457993673E-2</v>
      </c>
      <c r="P114" s="1224">
        <v>6.0726314936525361E-2</v>
      </c>
      <c r="Q114" s="1224">
        <v>5.2736710421072308E-2</v>
      </c>
      <c r="R114" s="1224">
        <v>2.8417703102836755E-2</v>
      </c>
      <c r="S114" s="1224">
        <v>2.841680721052553E-2</v>
      </c>
      <c r="T114" s="1224">
        <v>2.7478014067057188E-2</v>
      </c>
      <c r="U114" s="1224">
        <v>2.8865136430438865E-2</v>
      </c>
      <c r="V114" s="1224">
        <v>3.2165650540142865E-2</v>
      </c>
      <c r="W114" s="1224">
        <v>3.8658975007875185E-2</v>
      </c>
      <c r="X114" s="1224">
        <v>7.3961872539102025E-2</v>
      </c>
      <c r="Y114" s="1224">
        <v>2.7214662635527409E-2</v>
      </c>
      <c r="Z114" s="1224">
        <v>5.9855696823120752E-2</v>
      </c>
      <c r="AA114" s="1224">
        <v>2.4892273530588982E-2</v>
      </c>
      <c r="AB114" s="1224">
        <v>3.6390707494129648E-2</v>
      </c>
      <c r="AC114" s="1224">
        <v>4.1629355961402492E-2</v>
      </c>
      <c r="AD114" s="1224">
        <v>6.499270451268524E-2</v>
      </c>
      <c r="AE114" s="1224">
        <v>3.5455064681482185E-2</v>
      </c>
      <c r="AF114" s="1224">
        <v>3.8857814690322456E-2</v>
      </c>
      <c r="AG114" s="1224">
        <v>4.1296043995111775E-2</v>
      </c>
      <c r="AH114" s="1224">
        <v>6.0423557058442823E-2</v>
      </c>
      <c r="AI114" s="1224">
        <v>3.2971631449108196E-2</v>
      </c>
      <c r="AJ114" s="1224">
        <v>3.4280330090054933E-2</v>
      </c>
      <c r="AK114" s="1224">
        <v>7.1930250948633034E-2</v>
      </c>
      <c r="AL114" s="1224">
        <v>3.9000697084217384E-2</v>
      </c>
      <c r="AM114" s="1224">
        <v>3.0172190895526141E-2</v>
      </c>
      <c r="AN114" s="1224">
        <v>3.301291896828551E-2</v>
      </c>
      <c r="AO114" s="1224">
        <v>6.2555347262171601E-2</v>
      </c>
      <c r="AP114" s="1224">
        <v>5.855151910618428E-2</v>
      </c>
      <c r="AQ114" s="1224">
        <v>5.595626020425204E-2</v>
      </c>
      <c r="AR114" s="1224">
        <v>3.1322275506776798E-2</v>
      </c>
      <c r="AS114" s="1224">
        <v>7.8855519020650799E-2</v>
      </c>
    </row>
    <row r="115" spans="1:45" ht="15" x14ac:dyDescent="0.2">
      <c r="A115" s="1220">
        <v>76</v>
      </c>
      <c r="B115" s="169">
        <v>76</v>
      </c>
      <c r="C115" s="1228"/>
      <c r="D115" s="1228"/>
      <c r="E115" s="1228"/>
      <c r="F115" s="1225" t="s">
        <v>684</v>
      </c>
      <c r="G115" s="1226">
        <f t="shared" si="4"/>
        <v>1</v>
      </c>
      <c r="H115" s="1227" t="str">
        <f t="shared" si="5"/>
        <v>-</v>
      </c>
      <c r="J115" s="96" t="s">
        <v>87</v>
      </c>
      <c r="K115" s="1224">
        <v>3.9306881078850164E-2</v>
      </c>
      <c r="L115" s="1224">
        <v>8.3626760820486146E-2</v>
      </c>
      <c r="M115" s="1224">
        <v>3.2706288024722863E-2</v>
      </c>
      <c r="N115" s="1224">
        <v>2.621046305374497E-2</v>
      </c>
      <c r="O115" s="1224">
        <v>4.6989285665096414E-2</v>
      </c>
      <c r="P115" s="1224">
        <v>6.081488360881937E-2</v>
      </c>
      <c r="Q115" s="1224">
        <v>5.2634732469606149E-2</v>
      </c>
      <c r="R115" s="1224">
        <v>2.8503786188658786E-2</v>
      </c>
      <c r="S115" s="1224">
        <v>2.8502939536818817E-2</v>
      </c>
      <c r="T115" s="1224">
        <v>2.7576424839948599E-2</v>
      </c>
      <c r="U115" s="1224">
        <v>2.894549462593532E-2</v>
      </c>
      <c r="V115" s="1224">
        <v>3.2202518501810218E-2</v>
      </c>
      <c r="W115" s="1224">
        <v>3.8741951307551536E-2</v>
      </c>
      <c r="X115" s="1224">
        <v>7.3942958355309507E-2</v>
      </c>
      <c r="Y115" s="1224">
        <v>2.7316564652157593E-2</v>
      </c>
      <c r="Z115" s="1224">
        <v>5.9955688886797365E-2</v>
      </c>
      <c r="AA115" s="1224">
        <v>2.5024524609239984E-2</v>
      </c>
      <c r="AB115" s="1224">
        <v>3.6503420940755982E-2</v>
      </c>
      <c r="AC115" s="1224">
        <v>4.1673458620430814E-2</v>
      </c>
      <c r="AD115" s="1224">
        <v>6.5090868346109332E-2</v>
      </c>
      <c r="AE115" s="1224">
        <v>3.5514415423252954E-2</v>
      </c>
      <c r="AF115" s="1224">
        <v>3.8807151603400314E-2</v>
      </c>
      <c r="AG115" s="1224">
        <v>4.1344423874842606E-2</v>
      </c>
      <c r="AH115" s="1224">
        <v>6.0581347410707531E-2</v>
      </c>
      <c r="AI115" s="1224">
        <v>3.3063591010667803E-2</v>
      </c>
      <c r="AJ115" s="1224">
        <v>3.4289079560453795E-2</v>
      </c>
      <c r="AK115" s="1224">
        <v>7.187142462272389E-2</v>
      </c>
      <c r="AL115" s="1224">
        <v>3.9111873867499591E-2</v>
      </c>
      <c r="AM115" s="1224">
        <v>3.0235253436204701E-2</v>
      </c>
      <c r="AN115" s="1224">
        <v>3.3038019325414281E-2</v>
      </c>
      <c r="AO115" s="1224">
        <v>6.268535465298597E-2</v>
      </c>
      <c r="AP115" s="1224">
        <v>5.8635812868982784E-2</v>
      </c>
      <c r="AQ115" s="1224">
        <v>5.6107104055097334E-2</v>
      </c>
      <c r="AR115" s="1224">
        <v>3.1370384505566618E-2</v>
      </c>
      <c r="AS115" s="1224">
        <v>7.877184627351963E-2</v>
      </c>
    </row>
    <row r="116" spans="1:45" ht="15" x14ac:dyDescent="0.2">
      <c r="A116" s="1220">
        <v>77</v>
      </c>
      <c r="B116" s="169">
        <v>77</v>
      </c>
      <c r="C116" s="1228"/>
      <c r="D116" s="1228"/>
      <c r="E116" s="1228"/>
      <c r="F116" s="1225" t="s">
        <v>684</v>
      </c>
      <c r="G116" s="1226">
        <f t="shared" si="4"/>
        <v>1</v>
      </c>
      <c r="H116" s="1227" t="str">
        <f t="shared" si="5"/>
        <v>-</v>
      </c>
      <c r="J116" s="96" t="s">
        <v>87</v>
      </c>
      <c r="K116" s="1224">
        <v>3.9316243026731756E-2</v>
      </c>
      <c r="L116" s="1224">
        <v>8.3481689324875763E-2</v>
      </c>
      <c r="M116" s="1224">
        <v>3.2735593990937506E-2</v>
      </c>
      <c r="N116" s="1224">
        <v>2.6323974020786345E-2</v>
      </c>
      <c r="O116" s="1224">
        <v>4.6963699179822571E-2</v>
      </c>
      <c r="P116" s="1224">
        <v>6.0901186080257075E-2</v>
      </c>
      <c r="Q116" s="1224">
        <v>5.2535390111829061E-2</v>
      </c>
      <c r="R116" s="1224">
        <v>2.8587665916464999E-2</v>
      </c>
      <c r="S116" s="1224">
        <v>2.8586865411045492E-2</v>
      </c>
      <c r="T116" s="1224">
        <v>2.7672311848467634E-2</v>
      </c>
      <c r="U116" s="1224">
        <v>2.902378939450112E-2</v>
      </c>
      <c r="V116" s="1224">
        <v>3.2238459621344751E-2</v>
      </c>
      <c r="W116" s="1224">
        <v>3.8822802230978448E-2</v>
      </c>
      <c r="X116" s="1224">
        <v>7.3924506462150541E-2</v>
      </c>
      <c r="Y116" s="1224">
        <v>2.7415849569519812E-2</v>
      </c>
      <c r="Z116" s="1224">
        <v>6.0053117982191928E-2</v>
      </c>
      <c r="AA116" s="1224">
        <v>2.5153372486728776E-2</v>
      </c>
      <c r="AB116" s="1224">
        <v>3.6613234350891366E-2</v>
      </c>
      <c r="AC116" s="1224">
        <v>4.1716439183325349E-2</v>
      </c>
      <c r="AD116" s="1224">
        <v>6.5186518215354816E-2</v>
      </c>
      <c r="AE116" s="1224">
        <v>3.5572256097968769E-2</v>
      </c>
      <c r="AF116" s="1224">
        <v>3.8757784334283896E-2</v>
      </c>
      <c r="AG116" s="1224">
        <v>4.1391575851392304E-2</v>
      </c>
      <c r="AH116" s="1224">
        <v>6.0735086501234381E-2</v>
      </c>
      <c r="AI116" s="1224">
        <v>3.315319340836731E-2</v>
      </c>
      <c r="AJ116" s="1224">
        <v>3.4297630502807985E-2</v>
      </c>
      <c r="AK116" s="1224">
        <v>7.1814160425078155E-2</v>
      </c>
      <c r="AL116" s="1224">
        <v>3.9220197822053215E-2</v>
      </c>
      <c r="AM116" s="1224">
        <v>3.029670963188047E-2</v>
      </c>
      <c r="AN116" s="1224">
        <v>3.3062486747403197E-2</v>
      </c>
      <c r="AO116" s="1224">
        <v>6.2812026117563979E-2</v>
      </c>
      <c r="AP116" s="1224">
        <v>5.8717951586381378E-2</v>
      </c>
      <c r="AQ116" s="1224">
        <v>5.6254075681778204E-2</v>
      </c>
      <c r="AR116" s="1224">
        <v>3.1417268853203062E-2</v>
      </c>
      <c r="AS116" s="1224">
        <v>7.8690329841823115E-2</v>
      </c>
    </row>
    <row r="117" spans="1:45" ht="15" x14ac:dyDescent="0.2">
      <c r="A117" s="1220">
        <v>78</v>
      </c>
      <c r="B117" s="169">
        <v>78</v>
      </c>
      <c r="C117" s="1228"/>
      <c r="D117" s="1228"/>
      <c r="E117" s="1228"/>
      <c r="F117" s="1225" t="s">
        <v>684</v>
      </c>
      <c r="G117" s="1226">
        <f t="shared" si="4"/>
        <v>1</v>
      </c>
      <c r="H117" s="1227" t="str">
        <f t="shared" si="5"/>
        <v>-</v>
      </c>
      <c r="J117" s="96" t="s">
        <v>87</v>
      </c>
      <c r="K117" s="1224">
        <v>3.9325337566291196E-2</v>
      </c>
      <c r="L117" s="1224">
        <v>8.3340336163437723E-2</v>
      </c>
      <c r="M117" s="1224">
        <v>3.2764177765271185E-2</v>
      </c>
      <c r="N117" s="1224">
        <v>2.6434605513243614E-2</v>
      </c>
      <c r="O117" s="1224">
        <v>4.6938744371304741E-2</v>
      </c>
      <c r="P117" s="1224">
        <v>6.0985306602804989E-2</v>
      </c>
      <c r="Q117" s="1224">
        <v>5.243858430559456E-2</v>
      </c>
      <c r="R117" s="1224">
        <v>2.8669424182634184E-2</v>
      </c>
      <c r="S117" s="1224">
        <v>2.8668666815228949E-2</v>
      </c>
      <c r="T117" s="1224">
        <v>2.7765769199750379E-2</v>
      </c>
      <c r="U117" s="1224">
        <v>2.9100097390978297E-2</v>
      </c>
      <c r="V117" s="1224">
        <v>3.227350718369415E-2</v>
      </c>
      <c r="W117" s="1224">
        <v>3.8901606634999197E-2</v>
      </c>
      <c r="X117" s="1224">
        <v>7.3906501640651712E-2</v>
      </c>
      <c r="Y117" s="1224">
        <v>2.7512615112226246E-2</v>
      </c>
      <c r="Z117" s="1224">
        <v>6.014807964946578E-2</v>
      </c>
      <c r="AA117" s="1224">
        <v>2.5278945096150363E-2</v>
      </c>
      <c r="AB117" s="1224">
        <v>3.6720256443358856E-2</v>
      </c>
      <c r="AC117" s="1224">
        <v>4.1758338101504755E-2</v>
      </c>
      <c r="AD117" s="1224">
        <v>6.52797478218754E-2</v>
      </c>
      <c r="AE117" s="1224">
        <v>3.5628642187220061E-2</v>
      </c>
      <c r="AF117" s="1224">
        <v>3.8709665604857113E-2</v>
      </c>
      <c r="AG117" s="1224">
        <v>4.1437544470613652E-2</v>
      </c>
      <c r="AH117" s="1224">
        <v>6.0884926598015365E-2</v>
      </c>
      <c r="AI117" s="1224">
        <v>3.3240526372452894E-2</v>
      </c>
      <c r="AJ117" s="1224">
        <v>3.4305989403068393E-2</v>
      </c>
      <c r="AK117" s="1224">
        <v>7.1758395820404219E-2</v>
      </c>
      <c r="AL117" s="1224">
        <v>3.9325775592735646E-2</v>
      </c>
      <c r="AM117" s="1224">
        <v>3.0356618650102751E-2</v>
      </c>
      <c r="AN117" s="1224">
        <v>3.3086345222561375E-2</v>
      </c>
      <c r="AO117" s="1224">
        <v>6.2935486690879339E-2</v>
      </c>
      <c r="AP117" s="1224">
        <v>5.8798015307256257E-2</v>
      </c>
      <c r="AQ117" s="1224">
        <v>5.6397320553333463E-2</v>
      </c>
      <c r="AR117" s="1224">
        <v>3.1462972941197709E-2</v>
      </c>
      <c r="AS117" s="1224">
        <v>7.8610889306812037E-2</v>
      </c>
    </row>
    <row r="118" spans="1:45" ht="15" x14ac:dyDescent="0.2">
      <c r="A118" s="1220">
        <v>79</v>
      </c>
      <c r="B118" s="169">
        <v>79</v>
      </c>
      <c r="C118" s="1228"/>
      <c r="D118" s="1228"/>
      <c r="E118" s="1228"/>
      <c r="F118" s="1225" t="s">
        <v>684</v>
      </c>
      <c r="G118" s="1226">
        <f t="shared" si="4"/>
        <v>1</v>
      </c>
      <c r="H118" s="1227" t="str">
        <f t="shared" si="5"/>
        <v>-</v>
      </c>
      <c r="J118" s="96" t="s">
        <v>87</v>
      </c>
      <c r="K118" s="1224">
        <v>3.9334176920375441E-2</v>
      </c>
      <c r="L118" s="1224">
        <v>8.3202561833832567E-2</v>
      </c>
      <c r="M118" s="1224">
        <v>3.2792064945714738E-2</v>
      </c>
      <c r="N118" s="1224">
        <v>2.6542464166102064E-2</v>
      </c>
      <c r="O118" s="1224">
        <v>4.6914399521166716E-2</v>
      </c>
      <c r="P118" s="1224">
        <v>6.106732543270077E-2</v>
      </c>
      <c r="Q118" s="1224">
        <v>5.2344220723235191E-2</v>
      </c>
      <c r="R118" s="1224">
        <v>2.8749139010990632E-2</v>
      </c>
      <c r="S118" s="1224">
        <v>2.8748421881720665E-2</v>
      </c>
      <c r="T118" s="1224">
        <v>2.7856886547486859E-2</v>
      </c>
      <c r="U118" s="1224">
        <v>2.917449174658171E-2</v>
      </c>
      <c r="V118" s="1224">
        <v>3.2307692972666224E-2</v>
      </c>
      <c r="W118" s="1224">
        <v>3.8978439694407063E-2</v>
      </c>
      <c r="X118" s="1224">
        <v>7.388892921710033E-2</v>
      </c>
      <c r="Y118" s="1224">
        <v>2.7606954404628681E-2</v>
      </c>
      <c r="Z118" s="1224">
        <v>6.0240664896760165E-2</v>
      </c>
      <c r="AA118" s="1224">
        <v>2.5401364277396032E-2</v>
      </c>
      <c r="AB118" s="1224">
        <v>3.6824590811748159E-2</v>
      </c>
      <c r="AC118" s="1224">
        <v>4.1799194103512294E-2</v>
      </c>
      <c r="AD118" s="1224">
        <v>6.5370646401027743E-2</v>
      </c>
      <c r="AE118" s="1224">
        <v>3.5683626586491712E-2</v>
      </c>
      <c r="AF118" s="1224">
        <v>3.8662750222776321E-2</v>
      </c>
      <c r="AG118" s="1224">
        <v>4.1482372281553603E-2</v>
      </c>
      <c r="AH118" s="1224">
        <v>6.1031012597421608E-2</v>
      </c>
      <c r="AI118" s="1224">
        <v>3.332567350067972E-2</v>
      </c>
      <c r="AJ118" s="1224">
        <v>3.4314162464926135E-2</v>
      </c>
      <c r="AK118" s="1224">
        <v>7.1704071621346621E-2</v>
      </c>
      <c r="AL118" s="1224">
        <v>3.9428708745271157E-2</v>
      </c>
      <c r="AM118" s="1224">
        <v>3.0415036888975067E-2</v>
      </c>
      <c r="AN118" s="1224">
        <v>3.3109617531726698E-2</v>
      </c>
      <c r="AO118" s="1224">
        <v>6.3055855389101412E-2</v>
      </c>
      <c r="AP118" s="1224">
        <v>5.8876080280346077E-2</v>
      </c>
      <c r="AQ118" s="1224">
        <v>5.6536977098802899E-2</v>
      </c>
      <c r="AR118" s="1224">
        <v>3.1507539221051539E-2</v>
      </c>
      <c r="AS118" s="1224">
        <v>7.8533448007340301E-2</v>
      </c>
    </row>
    <row r="119" spans="1:45" ht="15" x14ac:dyDescent="0.2">
      <c r="A119" s="1220">
        <v>80</v>
      </c>
      <c r="B119" s="169">
        <v>80</v>
      </c>
      <c r="C119" s="1228"/>
      <c r="D119" s="1228"/>
      <c r="E119" s="1228"/>
      <c r="F119" s="1225" t="s">
        <v>684</v>
      </c>
      <c r="G119" s="1226">
        <f t="shared" si="4"/>
        <v>1</v>
      </c>
      <c r="H119" s="1227" t="str">
        <f t="shared" si="5"/>
        <v>-</v>
      </c>
      <c r="J119" s="96" t="s">
        <v>87</v>
      </c>
      <c r="K119" s="1224">
        <v>3.9342772544570304E-2</v>
      </c>
      <c r="L119" s="1224">
        <v>8.3068233557035853E-2</v>
      </c>
      <c r="M119" s="1224">
        <v>3.2819279965481618E-2</v>
      </c>
      <c r="N119" s="1224">
        <v>2.6647651574269959E-2</v>
      </c>
      <c r="O119" s="1224">
        <v>4.6890643787914854E-2</v>
      </c>
      <c r="P119" s="1224">
        <v>6.1147319054377647E-2</v>
      </c>
      <c r="Q119" s="1224">
        <v>5.2252209493502066E-2</v>
      </c>
      <c r="R119" s="1224">
        <v>2.8826884767674033E-2</v>
      </c>
      <c r="S119" s="1224">
        <v>2.8826205101264879E-2</v>
      </c>
      <c r="T119" s="1224">
        <v>2.794574933609173E-2</v>
      </c>
      <c r="U119" s="1224">
        <v>2.924704224005592E-2</v>
      </c>
      <c r="V119" s="1224">
        <v>3.2341047350314067E-2</v>
      </c>
      <c r="W119" s="1224">
        <v>3.9053373097616362E-2</v>
      </c>
      <c r="X119" s="1224">
        <v>7.387177504875253E-2</v>
      </c>
      <c r="Y119" s="1224">
        <v>2.7698956214871062E-2</v>
      </c>
      <c r="Z119" s="1224">
        <v>6.033096045149966E-2</v>
      </c>
      <c r="AA119" s="1224">
        <v>2.552074610262367E-2</v>
      </c>
      <c r="AB119" s="1224">
        <v>3.6926336189610387E-2</v>
      </c>
      <c r="AC119" s="1224">
        <v>4.1839044263189518E-2</v>
      </c>
      <c r="AD119" s="1224">
        <v>6.5459298974404279E-2</v>
      </c>
      <c r="AE119" s="1224">
        <v>3.5737259747382843E-2</v>
      </c>
      <c r="AF119" s="1224">
        <v>3.8616994987676678E-2</v>
      </c>
      <c r="AG119" s="1224">
        <v>4.1526099936051608E-2</v>
      </c>
      <c r="AH119" s="1224">
        <v>6.1173482449887517E-2</v>
      </c>
      <c r="AI119" s="1224">
        <v>3.3408714482668467E-2</v>
      </c>
      <c r="AJ119" s="1224">
        <v>3.4322155625593487E-2</v>
      </c>
      <c r="AK119" s="1224">
        <v>7.1651131765631426E-2</v>
      </c>
      <c r="AL119" s="1224">
        <v>3.9529094048569302E-2</v>
      </c>
      <c r="AM119" s="1224">
        <v>3.0472018130352385E-2</v>
      </c>
      <c r="AN119" s="1224">
        <v>3.3132325323570466E-2</v>
      </c>
      <c r="AO119" s="1224">
        <v>6.3173245554176027E-2</v>
      </c>
      <c r="AP119" s="1224">
        <v>5.8952219168641351E-2</v>
      </c>
      <c r="AQ119" s="1224">
        <v>5.6673177114179518E-2</v>
      </c>
      <c r="AR119" s="1224">
        <v>3.1551008290179317E-2</v>
      </c>
      <c r="AS119" s="1224">
        <v>7.8457932842895817E-2</v>
      </c>
    </row>
    <row r="120" spans="1:45" ht="15" x14ac:dyDescent="0.2">
      <c r="A120" s="1220">
        <v>81</v>
      </c>
      <c r="B120" s="169">
        <v>81</v>
      </c>
      <c r="C120" s="1228"/>
      <c r="D120" s="1228"/>
      <c r="E120" s="1228"/>
      <c r="F120" s="1225" t="s">
        <v>684</v>
      </c>
      <c r="G120" s="1226">
        <f t="shared" si="4"/>
        <v>1</v>
      </c>
      <c r="H120" s="1227" t="str">
        <f t="shared" si="5"/>
        <v>-</v>
      </c>
      <c r="J120" s="96" t="s">
        <v>87</v>
      </c>
      <c r="K120" s="1224">
        <v>3.9351135186331376E-2</v>
      </c>
      <c r="L120" s="1224">
        <v>8.2937224894372719E-2</v>
      </c>
      <c r="M120" s="1224">
        <v>3.2845846157622427E-2</v>
      </c>
      <c r="N120" s="1224">
        <v>2.6750264570216897E-2</v>
      </c>
      <c r="O120" s="1224">
        <v>4.6867457172003579E-2</v>
      </c>
      <c r="P120" s="1224">
        <v>6.1225360390295025E-2</v>
      </c>
      <c r="Q120" s="1224">
        <v>5.2162464958235732E-2</v>
      </c>
      <c r="R120" s="1224">
        <v>2.8902732362816375E-2</v>
      </c>
      <c r="S120" s="1224">
        <v>2.8902087519206754E-2</v>
      </c>
      <c r="T120" s="1224">
        <v>2.8032439030592826E-2</v>
      </c>
      <c r="U120" s="1224">
        <v>2.931781546296186E-2</v>
      </c>
      <c r="V120" s="1224">
        <v>3.2373599331578129E-2</v>
      </c>
      <c r="W120" s="1224">
        <v>3.912647523170798E-2</v>
      </c>
      <c r="X120" s="1224">
        <v>7.385502550886236E-2</v>
      </c>
      <c r="Y120" s="1224">
        <v>2.7788705186387874E-2</v>
      </c>
      <c r="Z120" s="1224">
        <v>6.0419048996468661E-2</v>
      </c>
      <c r="AA120" s="1224">
        <v>2.5637201185843672E-2</v>
      </c>
      <c r="AB120" s="1224">
        <v>3.7025586704198199E-2</v>
      </c>
      <c r="AC120" s="1224">
        <v>4.1877924067619254E-2</v>
      </c>
      <c r="AD120" s="1224">
        <v>6.5545786586088006E-2</v>
      </c>
      <c r="AE120" s="1224">
        <v>3.5789589810993228E-2</v>
      </c>
      <c r="AF120" s="1224">
        <v>3.8572358600006185E-2</v>
      </c>
      <c r="AG120" s="1224">
        <v>4.1568766283422987E-2</v>
      </c>
      <c r="AH120" s="1224">
        <v>6.1312467557810058E-2</v>
      </c>
      <c r="AI120" s="1224">
        <v>3.348972531140948E-2</v>
      </c>
      <c r="AJ120" s="1224">
        <v>3.4329974570488364E-2</v>
      </c>
      <c r="AK120" s="1224">
        <v>7.1599523110751573E-2</v>
      </c>
      <c r="AL120" s="1224">
        <v>3.9627023740046452E-2</v>
      </c>
      <c r="AM120" s="1224">
        <v>3.052761368345136E-2</v>
      </c>
      <c r="AN120" s="1224">
        <v>3.3154489184304747E-2</v>
      </c>
      <c r="AO120" s="1224">
        <v>6.3287765176148536E-2</v>
      </c>
      <c r="AP120" s="1224">
        <v>5.9026501250025953E-2</v>
      </c>
      <c r="AQ120" s="1224">
        <v>5.680604614267315E-2</v>
      </c>
      <c r="AR120" s="1224">
        <v>3.1593418975542464E-2</v>
      </c>
      <c r="AS120" s="1224">
        <v>7.8384274086707784E-2</v>
      </c>
    </row>
    <row r="121" spans="1:45" ht="15" x14ac:dyDescent="0.2">
      <c r="A121" s="1220">
        <v>82</v>
      </c>
      <c r="B121" s="169">
        <v>82</v>
      </c>
      <c r="C121" s="1228"/>
      <c r="D121" s="1228"/>
      <c r="E121" s="1228"/>
      <c r="F121" s="1225" t="s">
        <v>684</v>
      </c>
      <c r="G121" s="1226">
        <f t="shared" si="4"/>
        <v>1</v>
      </c>
      <c r="H121" s="1227" t="str">
        <f t="shared" si="5"/>
        <v>-</v>
      </c>
      <c r="J121" s="96" t="s">
        <v>87</v>
      </c>
      <c r="K121" s="1224">
        <v>3.9359274938903788E-2</v>
      </c>
      <c r="L121" s="1224">
        <v>8.2809415388657603E-2</v>
      </c>
      <c r="M121" s="1224">
        <v>3.2871785815372201E-2</v>
      </c>
      <c r="N121" s="1224">
        <v>2.685039548522794E-2</v>
      </c>
      <c r="O121" s="1224">
        <v>4.684482048169758E-2</v>
      </c>
      <c r="P121" s="1224">
        <v>6.1301518997633808E-2</v>
      </c>
      <c r="Q121" s="1224">
        <v>5.2074905443032504E-2</v>
      </c>
      <c r="R121" s="1224">
        <v>2.8976749439874716E-2</v>
      </c>
      <c r="S121" s="1224">
        <v>2.897613692046308E-2</v>
      </c>
      <c r="T121" s="1224">
        <v>2.811703333303095E-2</v>
      </c>
      <c r="U121" s="1224">
        <v>2.9386874978651223E-2</v>
      </c>
      <c r="V121" s="1224">
        <v>3.240537665449672E-2</v>
      </c>
      <c r="W121" s="1224">
        <v>3.9197811357309709E-2</v>
      </c>
      <c r="X121" s="1224">
        <v>7.383866747124701E-2</v>
      </c>
      <c r="Y121" s="1224">
        <v>2.7876282057212265E-2</v>
      </c>
      <c r="Z121" s="1224">
        <v>6.0505009391599307E-2</v>
      </c>
      <c r="AA121" s="1224">
        <v>2.5750834976739023E-2</v>
      </c>
      <c r="AB121" s="1224">
        <v>3.712243211850863E-2</v>
      </c>
      <c r="AC121" s="1224">
        <v>4.1915867484260572E-2</v>
      </c>
      <c r="AD121" s="1224">
        <v>6.5630186523946366E-2</v>
      </c>
      <c r="AE121" s="1224">
        <v>3.5840662733077622E-2</v>
      </c>
      <c r="AF121" s="1224">
        <v>3.8528801572767613E-2</v>
      </c>
      <c r="AG121" s="1224">
        <v>4.1610408460412973E-2</v>
      </c>
      <c r="AH121" s="1224">
        <v>6.1448093147632887E-2</v>
      </c>
      <c r="AI121" s="1224">
        <v>3.3568778482591322E-2</v>
      </c>
      <c r="AJ121" s="1224">
        <v>3.4337624746922701E-2</v>
      </c>
      <c r="AK121" s="1224">
        <v>7.1549195244609454E-2</v>
      </c>
      <c r="AL121" s="1224">
        <v>3.9722585774967456E-2</v>
      </c>
      <c r="AM121" s="1224">
        <v>3.0581872519534592E-2</v>
      </c>
      <c r="AN121" s="1224">
        <v>3.3176128702311791E-2</v>
      </c>
      <c r="AO121" s="1224">
        <v>6.3399517194794752E-2</v>
      </c>
      <c r="AP121" s="1224">
        <v>5.9098992605150169E-2</v>
      </c>
      <c r="AQ121" s="1224">
        <v>5.6935703830194306E-2</v>
      </c>
      <c r="AR121" s="1224">
        <v>3.1634808414715332E-2</v>
      </c>
      <c r="AS121" s="1224">
        <v>7.8312405208598834E-2</v>
      </c>
    </row>
    <row r="122" spans="1:45" ht="15" x14ac:dyDescent="0.2">
      <c r="A122" s="1220">
        <v>83</v>
      </c>
      <c r="B122" s="169">
        <v>83</v>
      </c>
      <c r="C122" s="1228"/>
      <c r="D122" s="1228"/>
      <c r="E122" s="1228"/>
      <c r="F122" s="1225" t="s">
        <v>684</v>
      </c>
      <c r="G122" s="1226">
        <f t="shared" si="4"/>
        <v>1</v>
      </c>
      <c r="H122" s="1227" t="str">
        <f t="shared" si="5"/>
        <v>-</v>
      </c>
      <c r="J122" s="96" t="s">
        <v>87</v>
      </c>
      <c r="K122" s="1224">
        <v>3.9367201290535281E-2</v>
      </c>
      <c r="L122" s="1224">
        <v>8.2684690227865509E-2</v>
      </c>
      <c r="M122" s="1224">
        <v>3.2897120248566836E-2</v>
      </c>
      <c r="N122" s="1224">
        <v>2.694813239518723E-2</v>
      </c>
      <c r="O122" s="1224">
        <v>4.6822715299825735E-2</v>
      </c>
      <c r="P122" s="1224">
        <v>6.1375861252753516E-2</v>
      </c>
      <c r="Q122" s="1224">
        <v>5.1989453041179301E-2</v>
      </c>
      <c r="R122" s="1224">
        <v>2.9049000553421189E-2</v>
      </c>
      <c r="S122" s="1224">
        <v>2.9048418003862597E-2</v>
      </c>
      <c r="T122" s="1224">
        <v>2.8199606386132725E-2</v>
      </c>
      <c r="U122" s="1224">
        <v>2.9454281474648125E-2</v>
      </c>
      <c r="V122" s="1224">
        <v>3.2436405846280714E-2</v>
      </c>
      <c r="W122" s="1224">
        <v>3.9267443773793875E-2</v>
      </c>
      <c r="X122" s="1224">
        <v>7.382268829456029E-2</v>
      </c>
      <c r="Y122" s="1224">
        <v>2.796176386751803E-2</v>
      </c>
      <c r="Z122" s="1224">
        <v>6.0588916882359234E-2</v>
      </c>
      <c r="AA122" s="1224">
        <v>2.5861748039017085E-2</v>
      </c>
      <c r="AB122" s="1224">
        <v>3.7216958061581762E-2</v>
      </c>
      <c r="AC122" s="1224">
        <v>4.1952907026843844E-2</v>
      </c>
      <c r="AD122" s="1224">
        <v>6.5712572526998914E-2</v>
      </c>
      <c r="AE122" s="1224">
        <v>3.5890522401528901E-2</v>
      </c>
      <c r="AF122" s="1224">
        <v>3.8486286146373505E-2</v>
      </c>
      <c r="AG122" s="1224">
        <v>4.1651061976594628E-2</v>
      </c>
      <c r="AH122" s="1224">
        <v>6.1580478617926371E-2</v>
      </c>
      <c r="AI122" s="1224">
        <v>3.3645943182408766E-2</v>
      </c>
      <c r="AJ122" s="1224">
        <v>3.4345111376860915E-2</v>
      </c>
      <c r="AK122" s="1224">
        <v>7.1500100310705195E-2</v>
      </c>
      <c r="AL122" s="1224">
        <v>3.9815864060763539E-2</v>
      </c>
      <c r="AM122" s="1224">
        <v>3.06348413982791E-2</v>
      </c>
      <c r="AN122" s="1224">
        <v>3.319726252810451E-2</v>
      </c>
      <c r="AO122" s="1224">
        <v>6.3508599781995745E-2</v>
      </c>
      <c r="AP122" s="1224">
        <v>5.9169756293430131E-2</v>
      </c>
      <c r="AQ122" s="1224">
        <v>5.7062264257829121E-2</v>
      </c>
      <c r="AR122" s="1224">
        <v>3.1675212134190556E-2</v>
      </c>
      <c r="AS122" s="1224">
        <v>7.8242262707229893E-2</v>
      </c>
    </row>
    <row r="123" spans="1:45" ht="15" x14ac:dyDescent="0.2">
      <c r="A123" s="1220">
        <v>84</v>
      </c>
      <c r="B123" s="169">
        <v>84</v>
      </c>
      <c r="C123" s="1228"/>
      <c r="D123" s="1228"/>
      <c r="E123" s="1228"/>
      <c r="F123" s="1225" t="s">
        <v>684</v>
      </c>
      <c r="G123" s="1226">
        <f t="shared" si="4"/>
        <v>1</v>
      </c>
      <c r="H123" s="1227" t="str">
        <f t="shared" si="5"/>
        <v>-</v>
      </c>
      <c r="J123" s="96" t="s">
        <v>87</v>
      </c>
      <c r="K123" s="1224">
        <v>3.9374923169433806E-2</v>
      </c>
      <c r="L123" s="1224">
        <v>8.2562939929879509E-2</v>
      </c>
      <c r="M123" s="1224">
        <v>3.2921869836422646E-2</v>
      </c>
      <c r="N123" s="1224">
        <v>2.7043559351776159E-2</v>
      </c>
      <c r="O123" s="1224">
        <v>4.680112395149405E-2</v>
      </c>
      <c r="P123" s="1224">
        <v>6.1448450524232978E-2</v>
      </c>
      <c r="Q123" s="1224">
        <v>5.1906033410144881E-2</v>
      </c>
      <c r="R123" s="1224">
        <v>2.9119547336134755E-2</v>
      </c>
      <c r="S123" s="1224">
        <v>2.9118992546440792E-2</v>
      </c>
      <c r="T123" s="1224">
        <v>2.828022896499216E-2</v>
      </c>
      <c r="U123" s="1224">
        <v>2.9520092908310147E-2</v>
      </c>
      <c r="V123" s="1224">
        <v>3.2466712285520671E-2</v>
      </c>
      <c r="W123" s="1224">
        <v>3.93354319752659E-2</v>
      </c>
      <c r="X123" s="1224">
        <v>7.3807075806423983E-2</v>
      </c>
      <c r="Y123" s="1224">
        <v>2.8045224155849091E-2</v>
      </c>
      <c r="Z123" s="1224">
        <v>6.0670843295571597E-2</v>
      </c>
      <c r="AA123" s="1224">
        <v>2.5970036313715417E-2</v>
      </c>
      <c r="AB123" s="1224">
        <v>3.7309246247176242E-2</v>
      </c>
      <c r="AC123" s="1224">
        <v>4.1989073819678868E-2</v>
      </c>
      <c r="AD123" s="1224">
        <v>6.5793014979814046E-2</v>
      </c>
      <c r="AE123" s="1224">
        <v>3.5939210746708694E-2</v>
      </c>
      <c r="AF123" s="1224">
        <v>3.8444776206733922E-2</v>
      </c>
      <c r="AG123" s="1224">
        <v>4.1690760795409121E-2</v>
      </c>
      <c r="AH123" s="1224">
        <v>6.1709737865162095E-2</v>
      </c>
      <c r="AI123" s="1224">
        <v>3.3721285464493045E-2</v>
      </c>
      <c r="AJ123" s="1224">
        <v>3.4352439468838591E-2</v>
      </c>
      <c r="AK123" s="1224">
        <v>7.1452192846590101E-2</v>
      </c>
      <c r="AL123" s="1224">
        <v>3.9906938677246373E-2</v>
      </c>
      <c r="AM123" s="1224">
        <v>3.068656498639899E-2</v>
      </c>
      <c r="AN123" s="1224">
        <v>3.3217908430007936E-2</v>
      </c>
      <c r="AO123" s="1224">
        <v>6.3615106606200067E-2</v>
      </c>
      <c r="AP123" s="1224">
        <v>5.9238852518008089E-2</v>
      </c>
      <c r="AQ123" s="1224">
        <v>5.7185836252936273E-2</v>
      </c>
      <c r="AR123" s="1224">
        <v>3.1714664124793401E-2</v>
      </c>
      <c r="AS123" s="1224">
        <v>7.8173785951363817E-2</v>
      </c>
    </row>
    <row r="124" spans="1:45" ht="15" x14ac:dyDescent="0.2">
      <c r="A124" s="1220">
        <v>85</v>
      </c>
      <c r="B124" s="169">
        <v>85</v>
      </c>
      <c r="C124" s="1228"/>
      <c r="D124" s="1228"/>
      <c r="E124" s="1228"/>
      <c r="F124" s="1225" t="s">
        <v>684</v>
      </c>
      <c r="G124" s="1226">
        <f t="shared" si="4"/>
        <v>1</v>
      </c>
      <c r="H124" s="1227" t="str">
        <f t="shared" si="5"/>
        <v>-</v>
      </c>
      <c r="J124" s="96" t="s">
        <v>87</v>
      </c>
      <c r="K124" s="1224">
        <v>3.9382448984884855E-2</v>
      </c>
      <c r="L124" s="1224">
        <v>8.2444060046933165E-2</v>
      </c>
      <c r="M124" s="1224">
        <v>3.2946054076955944E-2</v>
      </c>
      <c r="N124" s="1224">
        <v>2.7136756599936085E-2</v>
      </c>
      <c r="O124" s="1224">
        <v>4.6780029472812013E-2</v>
      </c>
      <c r="P124" s="1224">
        <v>6.1519347335267982E-2</v>
      </c>
      <c r="Q124" s="1224">
        <v>5.182457557993958E-2</v>
      </c>
      <c r="R124" s="1224">
        <v>2.9188448655691257E-2</v>
      </c>
      <c r="S124" s="1224">
        <v>2.9187919558252506E-2</v>
      </c>
      <c r="T124" s="1224">
        <v>2.8358968657463901E-2</v>
      </c>
      <c r="U124" s="1224">
        <v>2.9584364645740102E-2</v>
      </c>
      <c r="V124" s="1224">
        <v>3.24963202607782E-2</v>
      </c>
      <c r="W124" s="1224">
        <v>3.9401832797808289E-2</v>
      </c>
      <c r="X124" s="1224">
        <v>7.379181828753878E-2</v>
      </c>
      <c r="Y124" s="1224">
        <v>2.812673314452141E-2</v>
      </c>
      <c r="Z124" s="1224">
        <v>6.0750857223458299E-2</v>
      </c>
      <c r="AA124" s="1224">
        <v>2.6075791367978107E-2</v>
      </c>
      <c r="AB124" s="1224">
        <v>3.7399374681055475E-2</v>
      </c>
      <c r="AC124" s="1224">
        <v>4.2024397660136437E-2</v>
      </c>
      <c r="AD124" s="1224">
        <v>6.5871581094822496E-2</v>
      </c>
      <c r="AE124" s="1224">
        <v>3.598676784510535E-2</v>
      </c>
      <c r="AF124" s="1224">
        <v>3.8404237206651759E-2</v>
      </c>
      <c r="AG124" s="1224">
        <v>4.1729537411029805E-2</v>
      </c>
      <c r="AH124" s="1224">
        <v>6.1835979588731105E-2</v>
      </c>
      <c r="AI124" s="1224">
        <v>3.3794868416573642E-2</v>
      </c>
      <c r="AJ124" s="1224">
        <v>3.4359613829095581E-2</v>
      </c>
      <c r="AK124" s="1224">
        <v>7.1405429634431528E-2</v>
      </c>
      <c r="AL124" s="1224">
        <v>3.9995886083579624E-2</v>
      </c>
      <c r="AM124" s="1224">
        <v>3.0737085969044342E-2</v>
      </c>
      <c r="AN124" s="1224">
        <v>3.3238083345914937E-2</v>
      </c>
      <c r="AO124" s="1224">
        <v>6.3719127080210658E-2</v>
      </c>
      <c r="AP124" s="1224">
        <v>5.9306338780438672E-2</v>
      </c>
      <c r="AQ124" s="1224">
        <v>5.730652368037692E-2</v>
      </c>
      <c r="AR124" s="1224">
        <v>3.1753196914137805E-2</v>
      </c>
      <c r="AS124" s="1224">
        <v>7.8106917029751699E-2</v>
      </c>
    </row>
    <row r="125" spans="1:45" ht="15" x14ac:dyDescent="0.2">
      <c r="A125" s="1220">
        <v>86</v>
      </c>
      <c r="B125" s="169">
        <v>86</v>
      </c>
      <c r="C125" s="1228"/>
      <c r="D125" s="1228"/>
      <c r="E125" s="1228"/>
      <c r="F125" s="1225" t="s">
        <v>684</v>
      </c>
      <c r="G125" s="1226">
        <f t="shared" si="4"/>
        <v>1</v>
      </c>
      <c r="H125" s="1227" t="str">
        <f t="shared" si="5"/>
        <v>-</v>
      </c>
      <c r="J125" s="96" t="s">
        <v>87</v>
      </c>
      <c r="K125" s="1224">
        <v>3.9389786664874027E-2</v>
      </c>
      <c r="L125" s="1224">
        <v>8.2327950888448909E-2</v>
      </c>
      <c r="M125" s="1224">
        <v>3.2969691633293774E-2</v>
      </c>
      <c r="N125" s="1224">
        <v>2.7227800782410494E-2</v>
      </c>
      <c r="O125" s="1224">
        <v>4.6759415580661212E-2</v>
      </c>
      <c r="P125" s="1224">
        <v>6.1588609516139092E-2</v>
      </c>
      <c r="Q125" s="1224">
        <v>5.1745011772672322E-2</v>
      </c>
      <c r="R125" s="1224">
        <v>2.9255760762206817E-2</v>
      </c>
      <c r="S125" s="1224">
        <v>2.925525542824059E-2</v>
      </c>
      <c r="T125" s="1224">
        <v>2.8435890033932099E-2</v>
      </c>
      <c r="U125" s="1224">
        <v>2.9647149594006272E-2</v>
      </c>
      <c r="V125" s="1224">
        <v>3.2525253025796008E-2</v>
      </c>
      <c r="W125" s="1224">
        <v>3.9466700558440371E-2</v>
      </c>
      <c r="X125" s="1224">
        <v>7.3776904455873371E-2</v>
      </c>
      <c r="Y125" s="1224">
        <v>2.8206357914693614E-2</v>
      </c>
      <c r="Z125" s="1224">
        <v>6.08290241966436E-2</v>
      </c>
      <c r="AA125" s="1224">
        <v>2.617910062987594E-2</v>
      </c>
      <c r="AB125" s="1224">
        <v>3.7487417857207772E-2</v>
      </c>
      <c r="AC125" s="1224">
        <v>4.2058907079109531E-2</v>
      </c>
      <c r="AD125" s="1224">
        <v>6.5948335083373388E-2</v>
      </c>
      <c r="AE125" s="1224">
        <v>3.6033232016763561E-2</v>
      </c>
      <c r="AF125" s="1224">
        <v>3.8364636090546522E-2</v>
      </c>
      <c r="AG125" s="1224">
        <v>4.1767422921239694E-2</v>
      </c>
      <c r="AH125" s="1224">
        <v>6.1959307576659794E-2</v>
      </c>
      <c r="AI125" s="1224">
        <v>3.3866752317460058E-2</v>
      </c>
      <c r="AJ125" s="1224">
        <v>3.4366639071993665E-2</v>
      </c>
      <c r="AK125" s="1224">
        <v>7.1359769562655773E-2</v>
      </c>
      <c r="AL125" s="1224">
        <v>4.0082779312831107E-2</v>
      </c>
      <c r="AM125" s="1224">
        <v>3.0786445154463493E-2</v>
      </c>
      <c r="AN125" s="1224">
        <v>3.3257803431431254E-2</v>
      </c>
      <c r="AO125" s="1224">
        <v>6.3820746593446165E-2</v>
      </c>
      <c r="AP125" s="1224">
        <v>5.9372270025811469E-2</v>
      </c>
      <c r="AQ125" s="1224">
        <v>5.7424425715274729E-2</v>
      </c>
      <c r="AR125" s="1224">
        <v>3.179084163608259E-2</v>
      </c>
      <c r="AS125" s="1224">
        <v>7.8041600609252582E-2</v>
      </c>
    </row>
    <row r="126" spans="1:45" ht="15" x14ac:dyDescent="0.2">
      <c r="A126" s="1220">
        <v>87</v>
      </c>
      <c r="B126" s="169">
        <v>87</v>
      </c>
      <c r="C126" s="1228"/>
      <c r="D126" s="1228"/>
      <c r="E126" s="1228"/>
      <c r="F126" s="1225" t="s">
        <v>684</v>
      </c>
      <c r="G126" s="1226">
        <f t="shared" si="4"/>
        <v>1</v>
      </c>
      <c r="H126" s="1227" t="str">
        <f t="shared" si="5"/>
        <v>-</v>
      </c>
      <c r="J126" s="96" t="s">
        <v>87</v>
      </c>
      <c r="K126" s="1224">
        <v>3.9396943690563013E-2</v>
      </c>
      <c r="L126" s="1224">
        <v>8.2214517261069986E-2</v>
      </c>
      <c r="M126" s="1224">
        <v>3.2992800377104281E-2</v>
      </c>
      <c r="N126" s="1224">
        <v>2.7316765132134435E-2</v>
      </c>
      <c r="O126" s="1224">
        <v>4.6739266643531119E-2</v>
      </c>
      <c r="P126" s="1224">
        <v>6.1656292347410435E-2</v>
      </c>
      <c r="Q126" s="1224">
        <v>5.1667277232664288E-2</v>
      </c>
      <c r="R126" s="1224">
        <v>2.9321537426841848E-2</v>
      </c>
      <c r="S126" s="1224">
        <v>2.932105406167862E-2</v>
      </c>
      <c r="T126" s="1224">
        <v>2.8511054807093261E-2</v>
      </c>
      <c r="U126" s="1224">
        <v>2.9708498326791899E-2</v>
      </c>
      <c r="V126" s="1224">
        <v>3.2553532851540501E-2</v>
      </c>
      <c r="W126" s="1224">
        <v>3.9530087186231633E-2</v>
      </c>
      <c r="X126" s="1224">
        <v>7.3762323451024958E-2</v>
      </c>
      <c r="Y126" s="1224">
        <v>2.8284162571603044E-2</v>
      </c>
      <c r="Z126" s="1224">
        <v>6.0905406846819554E-2</v>
      </c>
      <c r="AA126" s="1224">
        <v>2.6280047609885893E-2</v>
      </c>
      <c r="AB126" s="1224">
        <v>3.7573446943382827E-2</v>
      </c>
      <c r="AC126" s="1224">
        <v>4.2092629399342441E-2</v>
      </c>
      <c r="AD126" s="1224">
        <v>6.6023338316290259E-2</v>
      </c>
      <c r="AE126" s="1224">
        <v>3.6078639916900412E-2</v>
      </c>
      <c r="AF126" s="1224">
        <v>3.8325941222494997E-2</v>
      </c>
      <c r="AG126" s="1224">
        <v>4.1804447096511543E-2</v>
      </c>
      <c r="AH126" s="1224">
        <v>6.2079820973361732E-2</v>
      </c>
      <c r="AI126" s="1224">
        <v>3.3936994784908192E-2</v>
      </c>
      <c r="AJ126" s="1224">
        <v>3.4373519629766314E-2</v>
      </c>
      <c r="AK126" s="1224">
        <v>7.1315173497720874E-2</v>
      </c>
      <c r="AL126" s="1224">
        <v>4.0167688154875147E-2</v>
      </c>
      <c r="AM126" s="1224">
        <v>3.0834681572376788E-2</v>
      </c>
      <c r="AN126" s="1224">
        <v>3.3277084104726073E-2</v>
      </c>
      <c r="AO126" s="1224">
        <v>6.3920046729742275E-2</v>
      </c>
      <c r="AP126" s="1224">
        <v>5.9436698778962516E-2</v>
      </c>
      <c r="AQ126" s="1224">
        <v>5.753963709859411E-2</v>
      </c>
      <c r="AR126" s="1224">
        <v>3.1827628097199412E-2</v>
      </c>
      <c r="AS126" s="1224">
        <v>7.7977783800787348E-2</v>
      </c>
    </row>
    <row r="127" spans="1:45" ht="15" x14ac:dyDescent="0.2">
      <c r="A127" s="1220">
        <v>88</v>
      </c>
      <c r="B127" s="169">
        <v>88</v>
      </c>
      <c r="C127" s="1228"/>
      <c r="D127" s="1228"/>
      <c r="E127" s="1228"/>
      <c r="F127" s="1225" t="s">
        <v>684</v>
      </c>
      <c r="G127" s="1226">
        <f t="shared" si="4"/>
        <v>1</v>
      </c>
      <c r="H127" s="1227" t="str">
        <f t="shared" si="5"/>
        <v>-</v>
      </c>
      <c r="J127" s="96" t="s">
        <v>87</v>
      </c>
      <c r="K127" s="1224">
        <v>3.9403927127894756E-2</v>
      </c>
      <c r="L127" s="1224">
        <v>8.2103668224746018E-2</v>
      </c>
      <c r="M127" s="1224">
        <v>3.3015397429351667E-2</v>
      </c>
      <c r="N127" s="1224">
        <v>2.7403719653213976E-2</v>
      </c>
      <c r="O127" s="1224">
        <v>4.6719567653427552E-2</v>
      </c>
      <c r="P127" s="1224">
        <v>6.1722448694480514E-2</v>
      </c>
      <c r="Q127" s="1224">
        <v>5.1591310066506413E-2</v>
      </c>
      <c r="R127" s="1224">
        <v>2.9385830072137464E-2</v>
      </c>
      <c r="S127" s="1224">
        <v>2.9385367009677754E-2</v>
      </c>
      <c r="T127" s="1224">
        <v>2.8584521982355282E-2</v>
      </c>
      <c r="U127" s="1224">
        <v>2.9768459203640241E-2</v>
      </c>
      <c r="V127" s="1224">
        <v>3.2581181075280963E-2</v>
      </c>
      <c r="W127" s="1224">
        <v>3.959204234600433E-2</v>
      </c>
      <c r="X127" s="1224">
        <v>7.3748064818805137E-2</v>
      </c>
      <c r="Y127" s="1224">
        <v>2.8360208400464604E-2</v>
      </c>
      <c r="Z127" s="1224">
        <v>6.0980065059719202E-2</v>
      </c>
      <c r="AA127" s="1224">
        <v>2.6378712109665026E-2</v>
      </c>
      <c r="AB127" s="1224">
        <v>3.7657529956369507E-2</v>
      </c>
      <c r="AC127" s="1224">
        <v>4.2125590791537437E-2</v>
      </c>
      <c r="AD127" s="1224">
        <v>6.6096649474640001E-2</v>
      </c>
      <c r="AE127" s="1224">
        <v>3.6123026622090437E-2</v>
      </c>
      <c r="AF127" s="1224">
        <v>3.8288122317544637E-2</v>
      </c>
      <c r="AG127" s="1224">
        <v>4.1840638445467482E-2</v>
      </c>
      <c r="AH127" s="1224">
        <v>6.2197614530664636E-2</v>
      </c>
      <c r="AI127" s="1224">
        <v>3.4005650914899821E-2</v>
      </c>
      <c r="AJ127" s="1224">
        <v>3.4380259761660703E-2</v>
      </c>
      <c r="AK127" s="1224">
        <v>7.1271604165175528E-2</v>
      </c>
      <c r="AL127" s="1224">
        <v>4.0250679328376782E-2</v>
      </c>
      <c r="AM127" s="1224">
        <v>3.0881832566483247E-2</v>
      </c>
      <c r="AN127" s="1224">
        <v>3.3295940088286846E-2</v>
      </c>
      <c r="AO127" s="1224">
        <v>6.4017105471682267E-2</v>
      </c>
      <c r="AP127" s="1224">
        <v>5.9499675272389974E-2</v>
      </c>
      <c r="AQ127" s="1224">
        <v>5.7652248376736104E-2</v>
      </c>
      <c r="AR127" s="1224">
        <v>3.186358484027485E-2</v>
      </c>
      <c r="AS127" s="1224">
        <v>7.7915416032738882E-2</v>
      </c>
    </row>
    <row r="128" spans="1:45" ht="15" x14ac:dyDescent="0.2">
      <c r="A128" s="1220">
        <v>89</v>
      </c>
      <c r="B128" s="169">
        <v>89</v>
      </c>
      <c r="C128" s="1228"/>
      <c r="D128" s="1228"/>
      <c r="E128" s="1228"/>
      <c r="F128" s="1225" t="s">
        <v>684</v>
      </c>
      <c r="G128" s="1226">
        <f t="shared" si="4"/>
        <v>1</v>
      </c>
      <c r="H128" s="1227" t="str">
        <f t="shared" si="5"/>
        <v>-</v>
      </c>
      <c r="J128" s="96" t="s">
        <v>87</v>
      </c>
      <c r="K128" s="1224">
        <v>3.9410743656598024E-2</v>
      </c>
      <c r="L128" s="1224">
        <v>8.1995316863813894E-2</v>
      </c>
      <c r="M128" s="1224">
        <v>3.3037499198573572E-2</v>
      </c>
      <c r="N128" s="1224">
        <v>2.7488731291186008E-2</v>
      </c>
      <c r="O128" s="1224">
        <v>4.6700304198854736E-2</v>
      </c>
      <c r="P128" s="1224">
        <v>6.1787129134052154E-2</v>
      </c>
      <c r="Q128" s="1224">
        <v>5.1517051092473842E-2</v>
      </c>
      <c r="R128" s="1224">
        <v>2.9448687894610748E-2</v>
      </c>
      <c r="S128" s="1224">
        <v>2.9448243591225332E-2</v>
      </c>
      <c r="T128" s="1224">
        <v>2.8656347999419074E-2</v>
      </c>
      <c r="U128" s="1224">
        <v>2.9827078483003033E-2</v>
      </c>
      <c r="V128" s="1224">
        <v>3.2608218146890078E-2</v>
      </c>
      <c r="W128" s="1224">
        <v>3.9652613555028804E-2</v>
      </c>
      <c r="X128" s="1224">
        <v>7.3734118496118439E-2</v>
      </c>
      <c r="Y128" s="1224">
        <v>2.8434554013520019E-2</v>
      </c>
      <c r="Z128" s="1224">
        <v>6.1053056119017901E-2</v>
      </c>
      <c r="AA128" s="1224">
        <v>2.6475170418758243E-2</v>
      </c>
      <c r="AB128" s="1224">
        <v>3.773973192746638E-2</v>
      </c>
      <c r="AC128" s="1224">
        <v>4.2157816328211251E-2</v>
      </c>
      <c r="AD128" s="1224">
        <v>6.6168324691367575E-2</v>
      </c>
      <c r="AE128" s="1224">
        <v>3.6166425711373185E-2</v>
      </c>
      <c r="AF128" s="1224">
        <v>3.8251150376236387E-2</v>
      </c>
      <c r="AG128" s="1224">
        <v>4.1876024276899848E-2</v>
      </c>
      <c r="AH128" s="1224">
        <v>6.2312778843265582E-2</v>
      </c>
      <c r="AI128" s="1224">
        <v>3.4072773412852309E-2</v>
      </c>
      <c r="AJ128" s="1224">
        <v>3.4386863562506864E-2</v>
      </c>
      <c r="AK128" s="1224">
        <v>7.1229026039227206E-2</v>
      </c>
      <c r="AL128" s="1224">
        <v>4.0331816642539708E-2</v>
      </c>
      <c r="AM128" s="1224">
        <v>3.0927933881483183E-2</v>
      </c>
      <c r="AN128" s="1224">
        <v>3.3314385447909434E-2</v>
      </c>
      <c r="AO128" s="1224">
        <v>6.4111997392370057E-2</v>
      </c>
      <c r="AP128" s="1224">
        <v>5.956124756642156E-2</v>
      </c>
      <c r="AQ128" s="1224">
        <v>5.7762346126252861E-2</v>
      </c>
      <c r="AR128" s="1224">
        <v>3.1898739204909043E-2</v>
      </c>
      <c r="AS128" s="1224">
        <v>7.7854448931411468E-2</v>
      </c>
    </row>
    <row r="129" spans="10:10" ht="14.25" x14ac:dyDescent="0.2">
      <c r="J129" s="96" t="s">
        <v>87</v>
      </c>
    </row>
    <row r="130" spans="10:10" ht="14.25" x14ac:dyDescent="0.2">
      <c r="J130" s="96" t="s">
        <v>87</v>
      </c>
    </row>
    <row r="131" spans="10:10" ht="14.25" x14ac:dyDescent="0.2">
      <c r="J131" s="96" t="s">
        <v>87</v>
      </c>
    </row>
  </sheetData>
  <mergeCells count="1">
    <mergeCell ref="A36:A37"/>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sheetPr>
  <dimension ref="A1:L37"/>
  <sheetViews>
    <sheetView zoomScaleNormal="100" workbookViewId="0"/>
  </sheetViews>
  <sheetFormatPr defaultRowHeight="12.75" x14ac:dyDescent="0.2"/>
  <cols>
    <col min="1" max="1" width="66.140625" customWidth="1"/>
    <col min="2" max="2" width="4.42578125" customWidth="1"/>
    <col min="3" max="3" width="13.140625" customWidth="1"/>
    <col min="4" max="4" width="9.28515625" style="1231" customWidth="1"/>
    <col min="7" max="7" width="9" customWidth="1"/>
    <col min="10" max="10" width="12.7109375" customWidth="1"/>
    <col min="11" max="11" width="29.85546875" customWidth="1"/>
    <col min="12" max="12" width="2" customWidth="1"/>
  </cols>
  <sheetData>
    <row r="1" spans="1:12" x14ac:dyDescent="0.2">
      <c r="A1" s="93" t="str">
        <f>FT15.Participant!$A$1</f>
        <v>&lt;IAIG's Name&gt;</v>
      </c>
      <c r="B1" s="94"/>
      <c r="C1" s="94"/>
      <c r="D1" s="94"/>
      <c r="E1" s="94"/>
      <c r="F1" s="94"/>
      <c r="G1" s="94"/>
      <c r="H1" s="94"/>
      <c r="I1" s="94"/>
      <c r="J1" s="611" t="str">
        <f>Version</f>
        <v>2015 IAIS Field Testing Template</v>
      </c>
      <c r="L1" s="699" t="s">
        <v>87</v>
      </c>
    </row>
    <row r="2" spans="1:12" ht="15" x14ac:dyDescent="0.25">
      <c r="A2" s="97" t="str">
        <f>FT15.Participant!$A$2</f>
        <v>&lt;Currency&gt; - (&lt;Unit&gt;)</v>
      </c>
      <c r="B2" s="967"/>
      <c r="C2" s="98" t="s">
        <v>1373</v>
      </c>
      <c r="D2" s="99"/>
      <c r="E2" s="99"/>
      <c r="F2" s="99"/>
      <c r="G2" s="99"/>
      <c r="H2" s="99"/>
      <c r="I2" s="99"/>
      <c r="J2" s="100" t="str">
        <f>FT15.Participant!$E$2</f>
        <v xml:space="preserve">&lt;Reporting Date&gt; - </v>
      </c>
      <c r="L2" s="699" t="s">
        <v>87</v>
      </c>
    </row>
    <row r="3" spans="1:12" ht="15" x14ac:dyDescent="0.25">
      <c r="A3" s="1229"/>
      <c r="B3" s="1229"/>
      <c r="C3" s="1229"/>
      <c r="D3" s="1230"/>
      <c r="E3" s="1229"/>
      <c r="F3" s="1229"/>
      <c r="G3" s="1229"/>
      <c r="H3" s="1229"/>
      <c r="I3" s="1229"/>
      <c r="J3" s="1229"/>
      <c r="L3" s="699" t="s">
        <v>87</v>
      </c>
    </row>
    <row r="4" spans="1:12" ht="15" x14ac:dyDescent="0.25">
      <c r="A4" s="1229"/>
      <c r="B4" s="1229"/>
      <c r="C4" s="1229"/>
      <c r="D4" s="1230"/>
      <c r="E4" s="1229"/>
      <c r="F4" s="1229"/>
      <c r="G4" s="1229"/>
      <c r="H4" s="1229"/>
      <c r="I4" s="1229"/>
      <c r="J4" s="1229"/>
      <c r="K4" s="1229"/>
      <c r="L4" s="699" t="s">
        <v>87</v>
      </c>
    </row>
    <row r="5" spans="1:12" ht="15" x14ac:dyDescent="0.25">
      <c r="A5" s="571"/>
      <c r="B5" s="571"/>
      <c r="C5" s="400" t="s">
        <v>1378</v>
      </c>
      <c r="E5" s="571"/>
      <c r="F5" s="1229"/>
      <c r="G5" s="1229"/>
      <c r="H5" s="1229"/>
      <c r="I5" s="1229"/>
      <c r="J5" s="1229"/>
      <c r="K5" s="1229"/>
      <c r="L5" s="699" t="s">
        <v>87</v>
      </c>
    </row>
    <row r="6" spans="1:12" ht="15" x14ac:dyDescent="0.25">
      <c r="A6" s="571"/>
      <c r="B6" s="1232">
        <v>145</v>
      </c>
      <c r="C6" s="1233" t="s">
        <v>1379</v>
      </c>
      <c r="E6" s="571"/>
      <c r="F6" s="1229"/>
      <c r="G6" s="1229"/>
      <c r="H6" s="1229"/>
      <c r="I6" s="1229"/>
      <c r="J6" s="1229"/>
      <c r="K6" s="1229"/>
      <c r="L6" s="699"/>
    </row>
    <row r="7" spans="1:12" ht="15" x14ac:dyDescent="0.25">
      <c r="A7" s="640" t="s">
        <v>1453</v>
      </c>
      <c r="B7" s="1234">
        <v>1</v>
      </c>
      <c r="C7" s="1235">
        <f>SUM(C17,C32)</f>
        <v>0</v>
      </c>
      <c r="E7" s="571"/>
      <c r="F7" s="1229"/>
      <c r="G7" s="1229"/>
      <c r="H7" s="1229"/>
      <c r="I7" s="1229"/>
      <c r="J7" s="1229"/>
      <c r="K7" s="1229"/>
      <c r="L7" s="699" t="s">
        <v>87</v>
      </c>
    </row>
    <row r="8" spans="1:12" ht="15" x14ac:dyDescent="0.25">
      <c r="A8" s="1229"/>
      <c r="B8" s="1229"/>
      <c r="C8" s="1229"/>
      <c r="D8" s="1230"/>
      <c r="E8" s="1229"/>
      <c r="F8" s="1229"/>
      <c r="G8" s="1229"/>
      <c r="H8" s="1229"/>
      <c r="I8" s="1229"/>
      <c r="J8" s="1229"/>
      <c r="K8" s="1229"/>
      <c r="L8" s="699" t="s">
        <v>87</v>
      </c>
    </row>
    <row r="9" spans="1:12" ht="15" x14ac:dyDescent="0.25">
      <c r="A9" s="1236" t="s">
        <v>1454</v>
      </c>
      <c r="B9" s="1232">
        <v>146</v>
      </c>
      <c r="C9" s="1233">
        <v>1</v>
      </c>
      <c r="D9" s="1230"/>
      <c r="E9" s="1229"/>
      <c r="F9" s="1229"/>
      <c r="G9" s="1229"/>
      <c r="H9" s="1229"/>
      <c r="I9" s="1229"/>
      <c r="J9" s="1229"/>
      <c r="K9" s="1229"/>
      <c r="L9" s="699" t="s">
        <v>87</v>
      </c>
    </row>
    <row r="10" spans="1:12" ht="15" x14ac:dyDescent="0.25">
      <c r="A10" s="1237" t="s">
        <v>1455</v>
      </c>
      <c r="B10" s="1238">
        <v>1</v>
      </c>
      <c r="C10" s="1239">
        <f>C11-C12</f>
        <v>0</v>
      </c>
      <c r="D10" s="1230"/>
      <c r="E10" s="1229"/>
      <c r="F10" s="1229"/>
      <c r="G10" s="1229"/>
      <c r="H10" s="1229"/>
      <c r="I10" s="1229"/>
      <c r="J10" s="1229"/>
      <c r="K10" s="1229"/>
      <c r="L10" s="699" t="s">
        <v>87</v>
      </c>
    </row>
    <row r="11" spans="1:12" ht="15" x14ac:dyDescent="0.25">
      <c r="A11" s="1240" t="s">
        <v>1456</v>
      </c>
      <c r="B11" s="1238">
        <v>2</v>
      </c>
      <c r="C11" s="1241">
        <f>SUM('ICS.Non-Life type risk'!J20:J35,'ICS.Non-Life type risk'!J40:J60,'ICS.Non-Life type risk'!J65:J85,'ICS.Non-Life type risk'!J90:J105,'ICS.Non-Life type risk'!J110:J119,'ICS.Non-Life type risk'!J124:J171,'ICS.Non-Life type risk'!J176:J185,'ICS.Non-Life type risk'!J190:J202,'ICS.Non-Life type risk'!J207:J221,'ICS.Non-Life type risk'!J226:J252,'ICS.Non-Life type risk'!J257:J278,'ICS.Non-Life type risk'!J283:J304)</f>
        <v>0</v>
      </c>
      <c r="D11" s="1230"/>
      <c r="E11" s="1229"/>
      <c r="F11" s="1229"/>
      <c r="G11" s="1229"/>
      <c r="H11" s="1229"/>
      <c r="I11" s="1229"/>
      <c r="J11" s="1229"/>
      <c r="K11" s="1229"/>
      <c r="L11" s="699" t="s">
        <v>87</v>
      </c>
    </row>
    <row r="12" spans="1:12" ht="15" x14ac:dyDescent="0.25">
      <c r="A12" s="1240" t="s">
        <v>1457</v>
      </c>
      <c r="B12" s="1238">
        <v>3</v>
      </c>
      <c r="C12" s="1241">
        <f>SUM('ICS.Balance sheet'!K130)</f>
        <v>0</v>
      </c>
      <c r="D12" s="1230"/>
      <c r="E12" s="1229"/>
      <c r="F12" s="1229"/>
      <c r="G12" s="1229"/>
      <c r="H12" s="1229"/>
      <c r="I12" s="1229"/>
      <c r="J12" s="1229"/>
      <c r="K12" s="1229"/>
      <c r="L12" s="699" t="s">
        <v>87</v>
      </c>
    </row>
    <row r="13" spans="1:12" ht="15" x14ac:dyDescent="0.25">
      <c r="A13" s="1237" t="s">
        <v>1458</v>
      </c>
      <c r="B13" s="1238">
        <v>4</v>
      </c>
      <c r="C13" s="1242">
        <f>C14-C15-C16</f>
        <v>0</v>
      </c>
      <c r="D13" s="1230"/>
      <c r="E13" s="1229"/>
      <c r="F13" s="1229"/>
      <c r="G13" s="1229"/>
      <c r="H13" s="1229"/>
      <c r="I13" s="1229"/>
      <c r="J13" s="1229"/>
      <c r="K13" s="1229"/>
      <c r="L13" s="699" t="s">
        <v>87</v>
      </c>
    </row>
    <row r="14" spans="1:12" ht="15" x14ac:dyDescent="0.25">
      <c r="A14" s="1240" t="s">
        <v>1459</v>
      </c>
      <c r="B14" s="1238">
        <v>5</v>
      </c>
      <c r="C14" s="1241">
        <f>SUM('ICS.Balance sheet'!C139)</f>
        <v>0</v>
      </c>
      <c r="D14" s="1230"/>
      <c r="E14" s="1229"/>
      <c r="F14" s="1229"/>
      <c r="G14" s="1229"/>
      <c r="H14" s="1229"/>
      <c r="I14" s="1229"/>
      <c r="J14" s="1229"/>
      <c r="K14" s="1229"/>
      <c r="L14" s="699" t="s">
        <v>87</v>
      </c>
    </row>
    <row r="15" spans="1:12" ht="15" x14ac:dyDescent="0.25">
      <c r="A15" s="1240" t="s">
        <v>1460</v>
      </c>
      <c r="B15" s="1238">
        <v>6</v>
      </c>
      <c r="C15" s="1241">
        <f>SUM('ICS.Balance sheet'!E42)</f>
        <v>0</v>
      </c>
      <c r="D15" s="1230"/>
      <c r="E15" s="1229"/>
      <c r="F15" s="1229"/>
      <c r="G15" s="1229"/>
      <c r="H15" s="1229"/>
      <c r="I15" s="1229"/>
      <c r="J15" s="1229"/>
      <c r="K15" s="1229"/>
      <c r="L15" s="699" t="s">
        <v>87</v>
      </c>
    </row>
    <row r="16" spans="1:12" ht="15" x14ac:dyDescent="0.25">
      <c r="A16" s="1240" t="s">
        <v>1457</v>
      </c>
      <c r="B16" s="1238">
        <v>7</v>
      </c>
      <c r="C16" s="1241">
        <f>SUM('ICS.Balance sheet'!J130)</f>
        <v>0</v>
      </c>
      <c r="D16" s="1230"/>
      <c r="E16" s="1229"/>
      <c r="F16" s="1229"/>
      <c r="G16" s="1229"/>
      <c r="H16" s="1229"/>
      <c r="I16" s="1229"/>
      <c r="J16" s="1229"/>
      <c r="K16" s="1229"/>
      <c r="L16" s="699" t="s">
        <v>87</v>
      </c>
    </row>
    <row r="17" spans="1:12" ht="15" x14ac:dyDescent="0.25">
      <c r="A17" s="1243" t="s">
        <v>1461</v>
      </c>
      <c r="B17" s="1244">
        <v>8</v>
      </c>
      <c r="C17" s="1245">
        <f>SUM(C10,C13)</f>
        <v>0</v>
      </c>
      <c r="D17" s="1230"/>
      <c r="E17" s="1229"/>
      <c r="F17" s="1229"/>
      <c r="G17" s="1229"/>
      <c r="H17" s="1229"/>
      <c r="I17" s="1229"/>
      <c r="J17" s="1229"/>
      <c r="K17" s="1229"/>
      <c r="L17" s="699" t="s">
        <v>87</v>
      </c>
    </row>
    <row r="18" spans="1:12" ht="15.75" thickBot="1" x14ac:dyDescent="0.3">
      <c r="A18" s="1229"/>
      <c r="B18" s="1229"/>
      <c r="C18" s="1229"/>
      <c r="D18" s="1230"/>
      <c r="E18" s="1229"/>
      <c r="F18" s="1229"/>
      <c r="G18" s="1229"/>
      <c r="H18" s="1229"/>
      <c r="I18" s="1229"/>
      <c r="J18" s="1229"/>
      <c r="K18" s="1229"/>
      <c r="L18" s="699" t="s">
        <v>87</v>
      </c>
    </row>
    <row r="19" spans="1:12" ht="18.75" thickBot="1" x14ac:dyDescent="0.3">
      <c r="A19" s="1041"/>
      <c r="B19" s="1041"/>
      <c r="C19" s="1041"/>
      <c r="D19" s="1246"/>
      <c r="E19" s="1548" t="s">
        <v>1462</v>
      </c>
      <c r="F19" s="1548"/>
      <c r="G19" s="1548"/>
      <c r="H19" s="1548"/>
      <c r="I19" s="1548"/>
      <c r="J19" s="1247"/>
      <c r="K19" s="571"/>
      <c r="L19" s="699" t="s">
        <v>87</v>
      </c>
    </row>
    <row r="20" spans="1:12" ht="15" x14ac:dyDescent="0.25">
      <c r="A20" s="571"/>
      <c r="B20" s="571"/>
      <c r="C20" s="571"/>
      <c r="D20" s="1248" t="s">
        <v>370</v>
      </c>
      <c r="E20" s="1549" t="s">
        <v>1463</v>
      </c>
      <c r="F20" s="1550"/>
      <c r="G20" s="1550"/>
      <c r="H20" s="1550"/>
      <c r="I20" s="1550"/>
      <c r="J20" s="1249" t="s">
        <v>1464</v>
      </c>
      <c r="K20" s="571"/>
      <c r="L20" s="699" t="s">
        <v>87</v>
      </c>
    </row>
    <row r="21" spans="1:12" ht="14.25" x14ac:dyDescent="0.2">
      <c r="A21" s="571"/>
      <c r="B21" s="571"/>
      <c r="C21" s="571"/>
      <c r="D21" s="1250"/>
      <c r="E21" s="1251" t="s">
        <v>1009</v>
      </c>
      <c r="F21" s="934" t="s">
        <v>1010</v>
      </c>
      <c r="G21" s="934" t="s">
        <v>1465</v>
      </c>
      <c r="H21" s="934" t="s">
        <v>1012</v>
      </c>
      <c r="I21" s="1252" t="s">
        <v>1466</v>
      </c>
      <c r="J21" s="1249" t="s">
        <v>1467</v>
      </c>
      <c r="K21" s="571"/>
      <c r="L21" s="699" t="s">
        <v>87</v>
      </c>
    </row>
    <row r="22" spans="1:12" x14ac:dyDescent="0.2">
      <c r="A22" s="571"/>
      <c r="B22" s="1232">
        <v>147</v>
      </c>
      <c r="C22" s="1253">
        <v>1</v>
      </c>
      <c r="D22" s="1253">
        <v>2</v>
      </c>
      <c r="E22" s="1253">
        <v>3</v>
      </c>
      <c r="F22" s="1253">
        <v>4</v>
      </c>
      <c r="G22" s="1253">
        <v>5</v>
      </c>
      <c r="H22" s="1253">
        <v>6</v>
      </c>
      <c r="I22" s="1253">
        <v>7</v>
      </c>
      <c r="J22" s="1233">
        <v>8</v>
      </c>
      <c r="K22" s="571"/>
      <c r="L22" s="699" t="s">
        <v>87</v>
      </c>
    </row>
    <row r="23" spans="1:12" x14ac:dyDescent="0.2">
      <c r="A23" s="571"/>
      <c r="B23" s="1238">
        <v>1</v>
      </c>
      <c r="C23" s="1254" t="s">
        <v>1468</v>
      </c>
      <c r="D23" s="1255">
        <f>SUM(E23:J23)+D24</f>
        <v>0</v>
      </c>
      <c r="E23" s="1256">
        <f>SUM('ICS.Life type risk'!C8)</f>
        <v>0</v>
      </c>
      <c r="F23" s="1256">
        <f>SUM('ICS.Life type risk'!D8)</f>
        <v>0</v>
      </c>
      <c r="G23" s="1256">
        <f>SUM('ICS.Life type risk'!E8)</f>
        <v>0</v>
      </c>
      <c r="H23" s="1256">
        <f>SUM('ICS.Life type risk'!F8)</f>
        <v>0</v>
      </c>
      <c r="I23" s="1256">
        <f>SUM('ICS.Life type risk'!G8)</f>
        <v>0</v>
      </c>
      <c r="J23" s="1257">
        <f>SUM('ICS.Life type risk'!H8)-SUM('ICS.Prudence-MOCE'!E23:I23)</f>
        <v>0</v>
      </c>
      <c r="K23" s="571" t="s">
        <v>1469</v>
      </c>
      <c r="L23" s="699" t="s">
        <v>87</v>
      </c>
    </row>
    <row r="24" spans="1:12" ht="15" x14ac:dyDescent="0.25">
      <c r="A24" s="1258" t="s">
        <v>1470</v>
      </c>
      <c r="B24" s="1238">
        <v>2</v>
      </c>
      <c r="C24" s="1259" t="s">
        <v>1471</v>
      </c>
      <c r="D24" s="1260">
        <f>SUM('ICS.Balance sheet'!L114)</f>
        <v>0</v>
      </c>
      <c r="E24" s="1261"/>
      <c r="F24" s="1261"/>
      <c r="G24" s="230"/>
      <c r="H24" s="230"/>
      <c r="I24" s="230"/>
      <c r="J24" s="111"/>
      <c r="K24" s="571"/>
      <c r="L24" s="699" t="s">
        <v>87</v>
      </c>
    </row>
    <row r="25" spans="1:12" ht="14.25" x14ac:dyDescent="0.2">
      <c r="A25" s="317" t="s">
        <v>1472</v>
      </c>
      <c r="B25" s="1238">
        <v>3</v>
      </c>
      <c r="C25" s="1262">
        <f>SUM(D24)</f>
        <v>0</v>
      </c>
      <c r="D25" s="1263"/>
      <c r="E25" s="230"/>
      <c r="F25" s="230"/>
      <c r="G25" s="230"/>
      <c r="H25" s="230"/>
      <c r="I25" s="230"/>
      <c r="J25" s="111"/>
      <c r="K25" s="571"/>
      <c r="L25" s="699" t="s">
        <v>87</v>
      </c>
    </row>
    <row r="26" spans="1:12" ht="15" x14ac:dyDescent="0.25">
      <c r="A26" s="317" t="s">
        <v>1473</v>
      </c>
      <c r="B26" s="1238">
        <v>4</v>
      </c>
      <c r="C26" s="1262">
        <f>SUM(D23)</f>
        <v>0</v>
      </c>
      <c r="D26" s="1264"/>
      <c r="E26" s="230"/>
      <c r="F26" s="230"/>
      <c r="G26" s="230"/>
      <c r="H26" s="230"/>
      <c r="I26" s="230"/>
      <c r="J26" s="111"/>
      <c r="K26" s="571"/>
      <c r="L26" s="699" t="s">
        <v>87</v>
      </c>
    </row>
    <row r="27" spans="1:12" ht="14.25" x14ac:dyDescent="0.2">
      <c r="A27" s="317" t="s">
        <v>1474</v>
      </c>
      <c r="B27" s="1238">
        <v>5</v>
      </c>
      <c r="C27" s="1262">
        <f>C25</f>
        <v>0</v>
      </c>
      <c r="D27" s="1263"/>
      <c r="E27" s="230"/>
      <c r="F27" s="230"/>
      <c r="G27" s="230"/>
      <c r="H27" s="230"/>
      <c r="I27" s="230"/>
      <c r="J27" s="111"/>
      <c r="K27" s="571"/>
      <c r="L27" s="699" t="s">
        <v>87</v>
      </c>
    </row>
    <row r="28" spans="1:12" ht="14.25" x14ac:dyDescent="0.2">
      <c r="A28" s="317" t="s">
        <v>1475</v>
      </c>
      <c r="B28" s="1238">
        <v>6</v>
      </c>
      <c r="C28" s="1262">
        <f>(C26-C25)/NORMINV(0.995,0,1)</f>
        <v>0</v>
      </c>
      <c r="D28" s="1263"/>
      <c r="E28" s="230"/>
      <c r="F28" s="230"/>
      <c r="G28" s="230"/>
      <c r="H28" s="230"/>
      <c r="I28" s="230"/>
      <c r="J28" s="111"/>
      <c r="K28" s="571"/>
      <c r="L28" s="699" t="s">
        <v>87</v>
      </c>
    </row>
    <row r="29" spans="1:12" ht="14.25" x14ac:dyDescent="0.2">
      <c r="A29" s="317"/>
      <c r="B29" s="1238"/>
      <c r="C29" s="1265"/>
      <c r="D29" s="1266"/>
      <c r="E29" s="230"/>
      <c r="F29" s="230"/>
      <c r="G29" s="230"/>
      <c r="H29" s="230"/>
      <c r="I29" s="230"/>
      <c r="J29" s="111"/>
      <c r="K29" s="571"/>
      <c r="L29" s="699" t="s">
        <v>87</v>
      </c>
    </row>
    <row r="30" spans="1:12" ht="15" x14ac:dyDescent="0.25">
      <c r="A30" s="1267" t="s">
        <v>1476</v>
      </c>
      <c r="B30" s="1238"/>
      <c r="C30" s="1265"/>
      <c r="D30" s="1266"/>
      <c r="E30" s="1261"/>
      <c r="F30" s="1261"/>
      <c r="G30" s="230"/>
      <c r="H30" s="230"/>
      <c r="I30" s="230"/>
      <c r="J30" s="111"/>
      <c r="K30" s="571"/>
      <c r="L30" s="699" t="s">
        <v>87</v>
      </c>
    </row>
    <row r="31" spans="1:12" ht="14.25" x14ac:dyDescent="0.2">
      <c r="A31" s="317" t="s">
        <v>1477</v>
      </c>
      <c r="B31" s="1238"/>
      <c r="C31" s="1268">
        <v>0.66700000000000004</v>
      </c>
      <c r="D31" s="1266"/>
      <c r="E31" s="230"/>
      <c r="F31" s="230"/>
      <c r="G31" s="230"/>
      <c r="H31" s="230"/>
      <c r="I31" s="230"/>
      <c r="J31" s="111"/>
      <c r="K31" s="571"/>
      <c r="L31" s="699" t="s">
        <v>87</v>
      </c>
    </row>
    <row r="32" spans="1:12" ht="15" x14ac:dyDescent="0.25">
      <c r="A32" s="317" t="s">
        <v>1478</v>
      </c>
      <c r="B32" s="1238">
        <v>10</v>
      </c>
      <c r="C32" s="1269">
        <f>C28*C31</f>
        <v>0</v>
      </c>
      <c r="D32" s="1264"/>
      <c r="E32" s="230"/>
      <c r="F32" s="230"/>
      <c r="G32" s="230"/>
      <c r="H32" s="230"/>
      <c r="I32" s="230"/>
      <c r="J32" s="111"/>
      <c r="K32" s="571"/>
      <c r="L32" s="699" t="s">
        <v>87</v>
      </c>
    </row>
    <row r="33" spans="1:12" ht="14.25" x14ac:dyDescent="0.2">
      <c r="A33" s="936" t="s">
        <v>1479</v>
      </c>
      <c r="B33" s="1244">
        <v>11</v>
      </c>
      <c r="C33" s="1270" t="str">
        <f>IFERROR(C32/C27,"-")</f>
        <v>-</v>
      </c>
      <c r="D33" s="1271"/>
      <c r="E33" s="323"/>
      <c r="F33" s="323"/>
      <c r="G33" s="323"/>
      <c r="H33" s="323"/>
      <c r="I33" s="323"/>
      <c r="J33" s="151"/>
      <c r="K33" s="571"/>
      <c r="L33" s="699" t="s">
        <v>87</v>
      </c>
    </row>
    <row r="34" spans="1:12" x14ac:dyDescent="0.2">
      <c r="D34"/>
      <c r="L34" s="699" t="s">
        <v>87</v>
      </c>
    </row>
    <row r="35" spans="1:12" x14ac:dyDescent="0.2">
      <c r="D35"/>
      <c r="L35" s="699" t="s">
        <v>87</v>
      </c>
    </row>
    <row r="36" spans="1:12" x14ac:dyDescent="0.2">
      <c r="L36" s="699" t="s">
        <v>87</v>
      </c>
    </row>
    <row r="37" spans="1:12" x14ac:dyDescent="0.2">
      <c r="A37" s="699" t="s">
        <v>87</v>
      </c>
      <c r="B37" s="699" t="s">
        <v>87</v>
      </c>
      <c r="C37" s="699" t="s">
        <v>87</v>
      </c>
      <c r="D37" s="699" t="s">
        <v>87</v>
      </c>
      <c r="E37" s="699" t="s">
        <v>87</v>
      </c>
      <c r="F37" s="699" t="s">
        <v>87</v>
      </c>
      <c r="G37" s="699" t="s">
        <v>87</v>
      </c>
      <c r="H37" s="699" t="s">
        <v>87</v>
      </c>
      <c r="I37" s="699" t="s">
        <v>87</v>
      </c>
      <c r="J37" s="699" t="s">
        <v>87</v>
      </c>
      <c r="K37" s="699" t="s">
        <v>87</v>
      </c>
      <c r="L37" s="699" t="s">
        <v>87</v>
      </c>
    </row>
  </sheetData>
  <mergeCells count="2">
    <mergeCell ref="E19:I19"/>
    <mergeCell ref="E20:I20"/>
  </mergeCells>
  <pageMargins left="0.2" right="0.2" top="0.75" bottom="0.75" header="0.3" footer="0.3"/>
  <pageSetup paperSize="5" orientation="landscape" horizontalDpi="4294967294"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0">
    <tabColor rgb="FFFFFF00"/>
    <pageSetUpPr fitToPage="1"/>
  </sheetPr>
  <dimension ref="A1:H95"/>
  <sheetViews>
    <sheetView showGridLines="0" zoomScaleNormal="100" workbookViewId="0"/>
  </sheetViews>
  <sheetFormatPr defaultColWidth="8.5703125" defaultRowHeight="12.75" x14ac:dyDescent="0.2"/>
  <cols>
    <col min="1" max="1" width="82.28515625" style="346" customWidth="1"/>
    <col min="2" max="2" width="4" style="346" customWidth="1"/>
    <col min="3" max="3" width="5.28515625" style="346" customWidth="1"/>
    <col min="4" max="4" width="17.7109375" style="346" customWidth="1"/>
    <col min="5" max="5" width="5.140625" style="346" customWidth="1"/>
    <col min="6" max="6" width="18.7109375" style="346" customWidth="1"/>
    <col min="7" max="7" width="4.140625" style="346" customWidth="1"/>
    <col min="8" max="8" width="2" style="346" customWidth="1"/>
    <col min="9" max="9" width="8.5703125" style="346" customWidth="1"/>
    <col min="10" max="233" width="9.7109375" style="346" customWidth="1"/>
    <col min="234" max="16384" width="8.5703125" style="346"/>
  </cols>
  <sheetData>
    <row r="1" spans="1:8" ht="14.25" x14ac:dyDescent="0.2">
      <c r="A1" s="93" t="str">
        <f>FT15.Participant!$A$1</f>
        <v>&lt;IAIG's Name&gt;</v>
      </c>
      <c r="B1" s="94"/>
      <c r="C1" s="94"/>
      <c r="D1" s="94"/>
      <c r="E1" s="94"/>
      <c r="F1" s="95" t="str">
        <f ca="1">HYPERLINK("#"&amp;CELL("address",FT15.IndexSheet),Version)</f>
        <v>2015 IAIS Field Testing Template</v>
      </c>
      <c r="H1" s="96" t="s">
        <v>87</v>
      </c>
    </row>
    <row r="2" spans="1:8" ht="15" x14ac:dyDescent="0.25">
      <c r="A2" s="97" t="str">
        <f>FT15.Participant!$A$2</f>
        <v>&lt;Currency&gt; - (&lt;Unit&gt;)</v>
      </c>
      <c r="B2" s="98" t="s">
        <v>1480</v>
      </c>
      <c r="C2" s="99"/>
      <c r="D2" s="99"/>
      <c r="E2" s="99"/>
      <c r="F2" s="100" t="str">
        <f>FT15.Participant!$E$2</f>
        <v xml:space="preserve">&lt;Reporting Date&gt; - </v>
      </c>
      <c r="H2" s="96" t="s">
        <v>87</v>
      </c>
    </row>
    <row r="3" spans="1:8" ht="14.25" x14ac:dyDescent="0.2">
      <c r="H3" s="96" t="s">
        <v>87</v>
      </c>
    </row>
    <row r="4" spans="1:8" ht="15.75" x14ac:dyDescent="0.25">
      <c r="A4" s="141" t="s">
        <v>1481</v>
      </c>
      <c r="B4" s="142"/>
      <c r="C4" s="1272"/>
      <c r="D4" s="1273" t="s">
        <v>1482</v>
      </c>
      <c r="E4" s="1274"/>
      <c r="F4" s="1275" t="s">
        <v>1483</v>
      </c>
      <c r="H4" s="96" t="s">
        <v>87</v>
      </c>
    </row>
    <row r="5" spans="1:8" ht="15.75" x14ac:dyDescent="0.25">
      <c r="A5" s="123"/>
      <c r="B5" s="124">
        <v>148</v>
      </c>
      <c r="C5" s="105"/>
      <c r="D5" s="105">
        <v>1</v>
      </c>
      <c r="E5" s="279"/>
      <c r="F5" s="343">
        <v>2</v>
      </c>
      <c r="H5" s="96" t="s">
        <v>87</v>
      </c>
    </row>
    <row r="6" spans="1:8" ht="15" x14ac:dyDescent="0.25">
      <c r="A6" s="980" t="s">
        <v>1484</v>
      </c>
      <c r="B6" s="234">
        <v>1</v>
      </c>
      <c r="C6" s="1276" t="s">
        <v>151</v>
      </c>
      <c r="D6" s="1277">
        <f>D7+D11</f>
        <v>0</v>
      </c>
      <c r="E6" s="1278" t="s">
        <v>1485</v>
      </c>
      <c r="F6" s="1277">
        <f>F7+F11</f>
        <v>0</v>
      </c>
      <c r="H6" s="96" t="s">
        <v>87</v>
      </c>
    </row>
    <row r="7" spans="1:8" ht="15" x14ac:dyDescent="0.25">
      <c r="A7" s="1279" t="s">
        <v>1486</v>
      </c>
      <c r="B7" s="234">
        <v>2</v>
      </c>
      <c r="C7" s="1280" t="s">
        <v>153</v>
      </c>
      <c r="D7" s="1281">
        <f>SUM(D8:D10)</f>
        <v>0</v>
      </c>
      <c r="E7" s="1282" t="s">
        <v>1487</v>
      </c>
      <c r="F7" s="1281">
        <f>SUM(F8:F10)</f>
        <v>0</v>
      </c>
      <c r="H7" s="96" t="s">
        <v>87</v>
      </c>
    </row>
    <row r="8" spans="1:8" ht="14.25" x14ac:dyDescent="0.2">
      <c r="A8" s="1283" t="s">
        <v>444</v>
      </c>
      <c r="B8" s="234">
        <v>3</v>
      </c>
      <c r="C8" s="1284"/>
      <c r="D8" s="1285">
        <f>'FT15.Financial Instruments'!G15</f>
        <v>0</v>
      </c>
      <c r="E8" s="1284"/>
      <c r="F8" s="1285">
        <f>'FT15.Financial Instruments'!G15</f>
        <v>0</v>
      </c>
      <c r="H8" s="96" t="s">
        <v>87</v>
      </c>
    </row>
    <row r="9" spans="1:8" ht="14.25" x14ac:dyDescent="0.2">
      <c r="A9" s="1283" t="s">
        <v>446</v>
      </c>
      <c r="B9" s="234">
        <v>4</v>
      </c>
      <c r="C9" s="1284"/>
      <c r="D9" s="1285">
        <f>'FT15.Financial Instruments'!G16</f>
        <v>0</v>
      </c>
      <c r="E9" s="1284"/>
      <c r="F9" s="1285">
        <f>'FT15.Financial Instruments'!G16</f>
        <v>0</v>
      </c>
      <c r="H9" s="96" t="s">
        <v>87</v>
      </c>
    </row>
    <row r="10" spans="1:8" ht="25.5" x14ac:dyDescent="0.2">
      <c r="A10" s="1286" t="s">
        <v>448</v>
      </c>
      <c r="B10" s="234">
        <v>5</v>
      </c>
      <c r="C10" s="1284"/>
      <c r="D10" s="1285">
        <f>'FT15.Financial Instruments'!G17</f>
        <v>0</v>
      </c>
      <c r="E10" s="1284"/>
      <c r="F10" s="1285">
        <f>'FT15.Financial Instruments'!G17</f>
        <v>0</v>
      </c>
      <c r="H10" s="96" t="s">
        <v>87</v>
      </c>
    </row>
    <row r="11" spans="1:8" ht="15" x14ac:dyDescent="0.25">
      <c r="A11" s="1279" t="s">
        <v>1488</v>
      </c>
      <c r="B11" s="234">
        <v>6</v>
      </c>
      <c r="C11" s="1287" t="s">
        <v>165</v>
      </c>
      <c r="D11" s="1288">
        <f>SUM(D12:D16)</f>
        <v>0</v>
      </c>
      <c r="E11" s="1289" t="s">
        <v>1489</v>
      </c>
      <c r="F11" s="1288">
        <f>SUM(F12:F16)</f>
        <v>0</v>
      </c>
      <c r="H11" s="96" t="s">
        <v>87</v>
      </c>
    </row>
    <row r="12" spans="1:8" ht="14.25" x14ac:dyDescent="0.2">
      <c r="A12" s="1283" t="s">
        <v>158</v>
      </c>
      <c r="B12" s="234">
        <v>7</v>
      </c>
      <c r="C12" s="1284"/>
      <c r="D12" s="1285">
        <f>SUM($D$39,$D$45)</f>
        <v>0</v>
      </c>
      <c r="E12" s="1290"/>
      <c r="F12" s="1285">
        <f>SUM($F$39,$F$45)</f>
        <v>0</v>
      </c>
      <c r="H12" s="96" t="s">
        <v>87</v>
      </c>
    </row>
    <row r="13" spans="1:8" ht="15" x14ac:dyDescent="0.25">
      <c r="A13" s="1283" t="s">
        <v>1490</v>
      </c>
      <c r="B13" s="234">
        <v>8</v>
      </c>
      <c r="C13" s="1291"/>
      <c r="D13" s="1292">
        <f>$D$40</f>
        <v>0</v>
      </c>
      <c r="E13" s="1293"/>
      <c r="F13" s="1292">
        <f>$F$40</f>
        <v>0</v>
      </c>
      <c r="H13" s="96" t="s">
        <v>87</v>
      </c>
    </row>
    <row r="14" spans="1:8" ht="14.25" x14ac:dyDescent="0.2">
      <c r="A14" s="1283" t="s">
        <v>161</v>
      </c>
      <c r="B14" s="234">
        <v>9</v>
      </c>
      <c r="C14" s="1284"/>
      <c r="D14" s="1285">
        <f>$D$41</f>
        <v>0</v>
      </c>
      <c r="E14" s="1290"/>
      <c r="F14" s="1285">
        <f>$F$41</f>
        <v>0</v>
      </c>
      <c r="H14" s="96" t="s">
        <v>87</v>
      </c>
    </row>
    <row r="15" spans="1:8" ht="14.25" x14ac:dyDescent="0.2">
      <c r="A15" s="1283" t="s">
        <v>1491</v>
      </c>
      <c r="B15" s="234">
        <v>10</v>
      </c>
      <c r="C15" s="1294"/>
      <c r="D15" s="1295">
        <f>$D$42+$D$43</f>
        <v>0</v>
      </c>
      <c r="E15" s="1296"/>
      <c r="F15" s="1295">
        <f>$F$42+$F$43</f>
        <v>0</v>
      </c>
      <c r="H15" s="96" t="s">
        <v>87</v>
      </c>
    </row>
    <row r="16" spans="1:8" ht="14.25" x14ac:dyDescent="0.2">
      <c r="A16" s="1297" t="s">
        <v>163</v>
      </c>
      <c r="B16" s="261">
        <v>11</v>
      </c>
      <c r="C16" s="1298"/>
      <c r="D16" s="1299">
        <f>$D$44</f>
        <v>0</v>
      </c>
      <c r="E16" s="1300"/>
      <c r="F16" s="1299">
        <f>$F$44</f>
        <v>0</v>
      </c>
      <c r="H16" s="96" t="s">
        <v>87</v>
      </c>
    </row>
    <row r="17" spans="1:8" ht="14.25" x14ac:dyDescent="0.2">
      <c r="H17" s="96" t="s">
        <v>87</v>
      </c>
    </row>
    <row r="18" spans="1:8" ht="15.75" x14ac:dyDescent="0.25">
      <c r="A18" s="141" t="s">
        <v>1492</v>
      </c>
      <c r="B18" s="142"/>
      <c r="C18" s="1272"/>
      <c r="D18" s="1273" t="s">
        <v>1482</v>
      </c>
      <c r="E18" s="1274"/>
      <c r="F18" s="1275" t="s">
        <v>1483</v>
      </c>
      <c r="H18" s="96" t="s">
        <v>87</v>
      </c>
    </row>
    <row r="19" spans="1:8" ht="15.75" x14ac:dyDescent="0.25">
      <c r="A19" s="1301"/>
      <c r="B19" s="104">
        <v>149</v>
      </c>
      <c r="C19" s="105"/>
      <c r="D19" s="105">
        <v>1</v>
      </c>
      <c r="E19" s="279"/>
      <c r="F19" s="343">
        <v>2</v>
      </c>
      <c r="H19" s="96" t="s">
        <v>87</v>
      </c>
    </row>
    <row r="20" spans="1:8" ht="15" x14ac:dyDescent="0.25">
      <c r="A20" s="980" t="s">
        <v>1493</v>
      </c>
      <c r="B20" s="169">
        <v>1</v>
      </c>
      <c r="C20" s="1302" t="s">
        <v>1494</v>
      </c>
      <c r="D20" s="1303">
        <f>D21+D25</f>
        <v>0</v>
      </c>
      <c r="E20" s="1304" t="s">
        <v>1495</v>
      </c>
      <c r="F20" s="1303">
        <f>F21+F25</f>
        <v>0</v>
      </c>
      <c r="H20" s="96" t="s">
        <v>87</v>
      </c>
    </row>
    <row r="21" spans="1:8" ht="15" x14ac:dyDescent="0.25">
      <c r="A21" s="1305" t="s">
        <v>1486</v>
      </c>
      <c r="B21" s="169">
        <v>2</v>
      </c>
      <c r="C21" s="1280" t="s">
        <v>1496</v>
      </c>
      <c r="D21" s="1306">
        <f>SUM(D22:D24)</f>
        <v>0</v>
      </c>
      <c r="E21" s="1282" t="s">
        <v>1497</v>
      </c>
      <c r="F21" s="1306">
        <f>SUM(F22:F24)</f>
        <v>0</v>
      </c>
      <c r="H21" s="96" t="s">
        <v>87</v>
      </c>
    </row>
    <row r="22" spans="1:8" ht="14.25" x14ac:dyDescent="0.2">
      <c r="A22" s="360" t="s">
        <v>445</v>
      </c>
      <c r="B22" s="169">
        <v>3</v>
      </c>
      <c r="C22" s="1284"/>
      <c r="D22" s="1307">
        <f>'FT15.Financial Instruments'!K15</f>
        <v>0</v>
      </c>
      <c r="E22" s="1290"/>
      <c r="F22" s="1307">
        <f>'FT15.Financial Instruments'!K15</f>
        <v>0</v>
      </c>
      <c r="H22" s="96" t="s">
        <v>87</v>
      </c>
    </row>
    <row r="23" spans="1:8" ht="14.25" x14ac:dyDescent="0.2">
      <c r="A23" s="360" t="s">
        <v>447</v>
      </c>
      <c r="B23" s="169">
        <v>4</v>
      </c>
      <c r="C23" s="1284"/>
      <c r="D23" s="1307">
        <f>'FT15.Financial Instruments'!K16</f>
        <v>0</v>
      </c>
      <c r="E23" s="1290"/>
      <c r="F23" s="1307">
        <f>'FT15.Financial Instruments'!K16</f>
        <v>0</v>
      </c>
      <c r="H23" s="96" t="s">
        <v>87</v>
      </c>
    </row>
    <row r="24" spans="1:8" ht="14.25" x14ac:dyDescent="0.2">
      <c r="A24" s="366" t="s">
        <v>449</v>
      </c>
      <c r="B24" s="169">
        <v>5</v>
      </c>
      <c r="C24" s="1284"/>
      <c r="D24" s="1307">
        <f>'FT15.Financial Instruments'!K17</f>
        <v>0</v>
      </c>
      <c r="E24" s="1290"/>
      <c r="F24" s="1307">
        <f>'FT15.Financial Instruments'!K17</f>
        <v>0</v>
      </c>
      <c r="H24" s="96" t="s">
        <v>87</v>
      </c>
    </row>
    <row r="25" spans="1:8" ht="15" x14ac:dyDescent="0.25">
      <c r="A25" s="1305" t="s">
        <v>1488</v>
      </c>
      <c r="B25" s="169">
        <v>6</v>
      </c>
      <c r="C25" s="1308" t="s">
        <v>1498</v>
      </c>
      <c r="D25" s="1309">
        <f>SUM(D26:D31)</f>
        <v>0</v>
      </c>
      <c r="E25" s="1310" t="s">
        <v>1499</v>
      </c>
      <c r="F25" s="389">
        <f>SUM(F26:F31)</f>
        <v>0</v>
      </c>
      <c r="H25" s="96" t="s">
        <v>87</v>
      </c>
    </row>
    <row r="26" spans="1:8" ht="14.25" x14ac:dyDescent="0.2">
      <c r="A26" s="360" t="s">
        <v>1500</v>
      </c>
      <c r="B26" s="169">
        <v>7</v>
      </c>
      <c r="C26" s="1284"/>
      <c r="D26" s="1311">
        <f>D47</f>
        <v>0</v>
      </c>
      <c r="E26" s="1290"/>
      <c r="F26" s="1311">
        <f>F47</f>
        <v>0</v>
      </c>
      <c r="H26" s="96" t="s">
        <v>87</v>
      </c>
    </row>
    <row r="27" spans="1:8" ht="14.25" x14ac:dyDescent="0.2">
      <c r="A27" s="360" t="s">
        <v>168</v>
      </c>
      <c r="B27" s="169">
        <v>8</v>
      </c>
      <c r="C27" s="1284"/>
      <c r="D27" s="1311">
        <f>D48</f>
        <v>0</v>
      </c>
      <c r="E27" s="1290"/>
      <c r="F27" s="1311">
        <f>F48</f>
        <v>0</v>
      </c>
      <c r="H27" s="96" t="s">
        <v>87</v>
      </c>
    </row>
    <row r="28" spans="1:8" ht="14.25" x14ac:dyDescent="0.2">
      <c r="A28" s="360" t="s">
        <v>626</v>
      </c>
      <c r="B28" s="169">
        <v>9</v>
      </c>
      <c r="C28" s="1284"/>
      <c r="D28" s="1307">
        <f>'FT15.Non-Paid-Up Cap Resources'!F11</f>
        <v>0</v>
      </c>
      <c r="E28" s="1290"/>
      <c r="F28" s="1307">
        <f>D28</f>
        <v>0</v>
      </c>
      <c r="H28" s="96" t="s">
        <v>87</v>
      </c>
    </row>
    <row r="29" spans="1:8" ht="14.25" x14ac:dyDescent="0.2">
      <c r="A29" s="360" t="s">
        <v>1501</v>
      </c>
      <c r="B29" s="169">
        <v>10</v>
      </c>
      <c r="C29" s="1284"/>
      <c r="D29" s="1311">
        <f>$D$49</f>
        <v>0</v>
      </c>
      <c r="E29" s="1290"/>
      <c r="F29" s="1311">
        <f>$F$49</f>
        <v>0</v>
      </c>
      <c r="H29" s="96" t="s">
        <v>87</v>
      </c>
    </row>
    <row r="30" spans="1:8" ht="14.25" x14ac:dyDescent="0.2">
      <c r="A30" s="360" t="s">
        <v>1502</v>
      </c>
      <c r="B30" s="169">
        <v>11</v>
      </c>
      <c r="C30" s="1284"/>
      <c r="D30" s="1312">
        <f>$D$50</f>
        <v>0</v>
      </c>
      <c r="E30" s="1290"/>
      <c r="F30" s="1312">
        <f>$F$50</f>
        <v>0</v>
      </c>
      <c r="H30" s="96" t="s">
        <v>87</v>
      </c>
    </row>
    <row r="31" spans="1:8" ht="14.25" x14ac:dyDescent="0.2">
      <c r="A31" s="360" t="s">
        <v>1503</v>
      </c>
      <c r="B31" s="169">
        <v>12</v>
      </c>
      <c r="C31" s="1284"/>
      <c r="D31" s="1312">
        <f>$D$51</f>
        <v>0</v>
      </c>
      <c r="E31" s="1290"/>
      <c r="F31" s="1312">
        <f>$F$51</f>
        <v>0</v>
      </c>
      <c r="H31" s="96" t="s">
        <v>87</v>
      </c>
    </row>
    <row r="32" spans="1:8" ht="14.25" x14ac:dyDescent="0.2">
      <c r="A32" s="360"/>
      <c r="B32" s="169"/>
      <c r="C32" s="1284"/>
      <c r="D32" s="1313"/>
      <c r="E32" s="1290"/>
      <c r="F32" s="1313"/>
      <c r="H32" s="96" t="s">
        <v>87</v>
      </c>
    </row>
    <row r="33" spans="1:8" ht="14.25" x14ac:dyDescent="0.2">
      <c r="A33" s="422" t="s">
        <v>1504</v>
      </c>
      <c r="B33" s="162">
        <v>13</v>
      </c>
      <c r="C33" s="1298"/>
      <c r="D33" s="1314">
        <f>D23+D28</f>
        <v>0</v>
      </c>
      <c r="E33" s="1315"/>
      <c r="F33" s="1314">
        <f>F23+F28</f>
        <v>0</v>
      </c>
      <c r="H33" s="96" t="s">
        <v>87</v>
      </c>
    </row>
    <row r="34" spans="1:8" ht="14.25" x14ac:dyDescent="0.2">
      <c r="H34" s="96" t="s">
        <v>87</v>
      </c>
    </row>
    <row r="35" spans="1:8" ht="15.75" x14ac:dyDescent="0.25">
      <c r="A35" s="154" t="s">
        <v>1505</v>
      </c>
      <c r="B35" s="142"/>
      <c r="C35" s="1272"/>
      <c r="D35" s="1273" t="s">
        <v>1482</v>
      </c>
      <c r="E35" s="1274"/>
      <c r="F35" s="1275" t="s">
        <v>1483</v>
      </c>
      <c r="H35" s="96" t="s">
        <v>87</v>
      </c>
    </row>
    <row r="36" spans="1:8" ht="14.25" x14ac:dyDescent="0.2">
      <c r="A36" s="160"/>
      <c r="B36" s="1316">
        <v>150</v>
      </c>
      <c r="C36" s="105"/>
      <c r="D36" s="105">
        <v>1</v>
      </c>
      <c r="E36" s="279"/>
      <c r="F36" s="343">
        <v>2</v>
      </c>
      <c r="H36" s="96" t="s">
        <v>87</v>
      </c>
    </row>
    <row r="37" spans="1:8" ht="15" x14ac:dyDescent="0.25">
      <c r="A37" s="1317" t="s">
        <v>370</v>
      </c>
      <c r="B37" s="234">
        <v>1</v>
      </c>
      <c r="C37" s="1318"/>
      <c r="D37" s="356">
        <f>SUM(D39:D52)</f>
        <v>0</v>
      </c>
      <c r="E37" s="1319"/>
      <c r="F37" s="356">
        <f>SUM(F39:F52)</f>
        <v>0</v>
      </c>
      <c r="H37" s="96" t="s">
        <v>87</v>
      </c>
    </row>
    <row r="38" spans="1:8" ht="15" x14ac:dyDescent="0.2">
      <c r="A38" s="357" t="s">
        <v>440</v>
      </c>
      <c r="B38" s="234"/>
      <c r="C38" s="1320"/>
      <c r="D38" s="358"/>
      <c r="E38" s="1321"/>
      <c r="F38" s="358"/>
      <c r="H38" s="96" t="s">
        <v>87</v>
      </c>
    </row>
    <row r="39" spans="1:8" ht="14.25" x14ac:dyDescent="0.2">
      <c r="A39" s="359" t="s">
        <v>158</v>
      </c>
      <c r="B39" s="234">
        <v>2</v>
      </c>
      <c r="C39" s="1320"/>
      <c r="D39" s="1322">
        <f>SUM('ICS.Balance sheet'!H83,'ICS.Balance sheet'!H85)</f>
        <v>0</v>
      </c>
      <c r="E39" s="1321"/>
      <c r="F39" s="1322">
        <f>SUM('ICS.Balance sheet'!L83,'ICS.Balance sheet'!L85)</f>
        <v>0</v>
      </c>
      <c r="H39" s="96" t="s">
        <v>87</v>
      </c>
    </row>
    <row r="40" spans="1:8" ht="14.25" x14ac:dyDescent="0.2">
      <c r="A40" s="359" t="s">
        <v>451</v>
      </c>
      <c r="B40" s="234">
        <v>3</v>
      </c>
      <c r="C40" s="1320"/>
      <c r="D40" s="1323">
        <f>SUM('FT15.Financial Instruments'!G18,'ICS.Balance sheet'!H78)</f>
        <v>0</v>
      </c>
      <c r="E40" s="1321"/>
      <c r="F40" s="1324">
        <f>D40</f>
        <v>0</v>
      </c>
      <c r="H40" s="96" t="s">
        <v>87</v>
      </c>
    </row>
    <row r="41" spans="1:8" ht="14.25" x14ac:dyDescent="0.2">
      <c r="A41" s="359" t="s">
        <v>161</v>
      </c>
      <c r="B41" s="234">
        <v>4</v>
      </c>
      <c r="C41" s="1320"/>
      <c r="D41" s="1322">
        <f>'ICS.Balance sheet'!H65</f>
        <v>0</v>
      </c>
      <c r="E41" s="1321"/>
      <c r="F41" s="1322">
        <f>'ICS.Balance sheet'!L65</f>
        <v>0</v>
      </c>
      <c r="H41" s="96" t="s">
        <v>87</v>
      </c>
    </row>
    <row r="42" spans="1:8" ht="14.25" x14ac:dyDescent="0.2">
      <c r="A42" s="359" t="s">
        <v>162</v>
      </c>
      <c r="B42" s="234">
        <v>5</v>
      </c>
      <c r="C42" s="1320"/>
      <c r="D42" s="1322">
        <f>'ICS.Balance sheet'!H80</f>
        <v>0</v>
      </c>
      <c r="E42" s="1321"/>
      <c r="F42" s="1322">
        <f>'ICS.Balance sheet'!L80</f>
        <v>0</v>
      </c>
      <c r="H42" s="96" t="s">
        <v>87</v>
      </c>
    </row>
    <row r="43" spans="1:8" ht="14.25" x14ac:dyDescent="0.2">
      <c r="A43" s="359" t="s">
        <v>1506</v>
      </c>
      <c r="B43" s="234">
        <v>6</v>
      </c>
      <c r="C43" s="1320"/>
      <c r="D43" s="1322">
        <f>'ICS.Balance sheet'!H81</f>
        <v>0</v>
      </c>
      <c r="E43" s="1321"/>
      <c r="F43" s="1322">
        <f>'ICS.Balance sheet'!L81</f>
        <v>0</v>
      </c>
      <c r="H43" s="96" t="s">
        <v>87</v>
      </c>
    </row>
    <row r="44" spans="1:8" ht="14.25" x14ac:dyDescent="0.2">
      <c r="A44" s="359" t="s">
        <v>163</v>
      </c>
      <c r="B44" s="234">
        <v>7</v>
      </c>
      <c r="C44" s="1320"/>
      <c r="D44" s="1325">
        <f>'ICS.Balance sheet'!H91</f>
        <v>0</v>
      </c>
      <c r="E44" s="1321"/>
      <c r="F44" s="1325">
        <f>'ICS.Balance sheet'!L91</f>
        <v>0</v>
      </c>
      <c r="H44" s="96" t="s">
        <v>87</v>
      </c>
    </row>
    <row r="45" spans="1:8" ht="14.25" x14ac:dyDescent="0.2">
      <c r="A45" s="359" t="s">
        <v>377</v>
      </c>
      <c r="B45" s="234">
        <v>8</v>
      </c>
      <c r="C45" s="1320"/>
      <c r="D45" s="363">
        <f>SUM('ICS.Balance sheet'!G86:G89)</f>
        <v>0</v>
      </c>
      <c r="E45" s="1321"/>
      <c r="F45" s="363">
        <f>SUM('ICS.Balance sheet'!K86:K89)</f>
        <v>0</v>
      </c>
      <c r="H45" s="96" t="s">
        <v>87</v>
      </c>
    </row>
    <row r="46" spans="1:8" ht="15" x14ac:dyDescent="0.2">
      <c r="A46" s="357" t="s">
        <v>441</v>
      </c>
      <c r="B46" s="234"/>
      <c r="C46" s="1320"/>
      <c r="D46" s="358"/>
      <c r="E46" s="1321"/>
      <c r="F46" s="358"/>
      <c r="H46" s="96" t="s">
        <v>87</v>
      </c>
    </row>
    <row r="47" spans="1:8" ht="14.25" x14ac:dyDescent="0.2">
      <c r="A47" s="359" t="s">
        <v>452</v>
      </c>
      <c r="B47" s="234">
        <v>9</v>
      </c>
      <c r="C47" s="1320"/>
      <c r="D47" s="1307">
        <f>'FT15.Financial Instruments'!K18</f>
        <v>0</v>
      </c>
      <c r="E47" s="1321"/>
      <c r="F47" s="1311">
        <f>D47</f>
        <v>0</v>
      </c>
      <c r="H47" s="96" t="s">
        <v>87</v>
      </c>
    </row>
    <row r="48" spans="1:8" ht="14.25" x14ac:dyDescent="0.2">
      <c r="A48" s="359" t="s">
        <v>379</v>
      </c>
      <c r="B48" s="234">
        <v>10</v>
      </c>
      <c r="C48" s="1320"/>
      <c r="D48" s="1322">
        <f>'ICS.Balance sheet'!H82</f>
        <v>0</v>
      </c>
      <c r="E48" s="1321"/>
      <c r="F48" s="1322">
        <f>'ICS.Balance sheet'!L82</f>
        <v>0</v>
      </c>
      <c r="H48" s="96" t="s">
        <v>87</v>
      </c>
    </row>
    <row r="49" spans="1:8" ht="14.25" x14ac:dyDescent="0.2">
      <c r="A49" s="359" t="s">
        <v>380</v>
      </c>
      <c r="B49" s="234">
        <v>11</v>
      </c>
      <c r="C49" s="1320"/>
      <c r="D49" s="1311">
        <f>50%*$D$61</f>
        <v>0</v>
      </c>
      <c r="E49" s="1321"/>
      <c r="F49" s="1311">
        <f>50%*$F$61</f>
        <v>0</v>
      </c>
      <c r="H49" s="96" t="s">
        <v>87</v>
      </c>
    </row>
    <row r="50" spans="1:8" ht="14.25" x14ac:dyDescent="0.2">
      <c r="A50" s="359" t="s">
        <v>406</v>
      </c>
      <c r="B50" s="234">
        <v>12</v>
      </c>
      <c r="C50" s="1320"/>
      <c r="D50" s="1311">
        <f>MAX(0,MIN(D60,D79))</f>
        <v>0</v>
      </c>
      <c r="E50" s="1321"/>
      <c r="F50" s="1311">
        <f>MAX(0,MIN(F60,F79))</f>
        <v>0</v>
      </c>
      <c r="H50" s="96" t="s">
        <v>87</v>
      </c>
    </row>
    <row r="51" spans="1:8" ht="14.25" x14ac:dyDescent="0.2">
      <c r="A51" s="359" t="s">
        <v>382</v>
      </c>
      <c r="B51" s="234">
        <v>13</v>
      </c>
      <c r="C51" s="1320"/>
      <c r="D51" s="1311">
        <f>MAX(0,D88)</f>
        <v>0</v>
      </c>
      <c r="E51" s="1321"/>
      <c r="F51" s="1311">
        <f>MAX(0,F88)</f>
        <v>0</v>
      </c>
      <c r="H51" s="96" t="s">
        <v>87</v>
      </c>
    </row>
    <row r="52" spans="1:8" ht="14.25" x14ac:dyDescent="0.2">
      <c r="A52" s="1326" t="s">
        <v>383</v>
      </c>
      <c r="B52" s="261">
        <v>14</v>
      </c>
      <c r="C52" s="1327"/>
      <c r="D52" s="369" t="s">
        <v>90</v>
      </c>
      <c r="E52" s="1328"/>
      <c r="F52" s="369" t="s">
        <v>90</v>
      </c>
      <c r="H52" s="96" t="s">
        <v>87</v>
      </c>
    </row>
    <row r="53" spans="1:8" ht="14.25" x14ac:dyDescent="0.2">
      <c r="H53" s="96" t="s">
        <v>87</v>
      </c>
    </row>
    <row r="54" spans="1:8" ht="15.75" x14ac:dyDescent="0.25">
      <c r="A54" s="154" t="s">
        <v>384</v>
      </c>
      <c r="B54" s="142"/>
      <c r="C54" s="1272"/>
      <c r="D54" s="1273" t="s">
        <v>1482</v>
      </c>
      <c r="E54" s="1274"/>
      <c r="F54" s="1275" t="s">
        <v>1483</v>
      </c>
      <c r="H54" s="96" t="s">
        <v>87</v>
      </c>
    </row>
    <row r="55" spans="1:8" ht="14.25" x14ac:dyDescent="0.2">
      <c r="A55" s="160"/>
      <c r="B55" s="1316">
        <v>151</v>
      </c>
      <c r="C55" s="105"/>
      <c r="D55" s="105">
        <v>1</v>
      </c>
      <c r="E55" s="279"/>
      <c r="F55" s="343">
        <v>2</v>
      </c>
      <c r="H55" s="96" t="s">
        <v>87</v>
      </c>
    </row>
    <row r="56" spans="1:8" ht="15.75" x14ac:dyDescent="0.25">
      <c r="A56" s="374" t="s">
        <v>1507</v>
      </c>
      <c r="B56" s="234">
        <v>1</v>
      </c>
      <c r="C56" s="1318"/>
      <c r="D56" s="356">
        <f>SUM(D57:D66)</f>
        <v>0</v>
      </c>
      <c r="E56" s="1319"/>
      <c r="F56" s="356">
        <f>SUM(F57:F66)</f>
        <v>0</v>
      </c>
      <c r="H56" s="96" t="s">
        <v>87</v>
      </c>
    </row>
    <row r="57" spans="1:8" ht="14.25" x14ac:dyDescent="0.2">
      <c r="A57" s="376" t="s">
        <v>385</v>
      </c>
      <c r="B57" s="234">
        <v>2</v>
      </c>
      <c r="C57" s="1320"/>
      <c r="D57" s="1311">
        <f>D82</f>
        <v>0</v>
      </c>
      <c r="E57" s="1321"/>
      <c r="F57" s="1329">
        <f>F82</f>
        <v>0</v>
      </c>
      <c r="H57" s="96" t="s">
        <v>87</v>
      </c>
    </row>
    <row r="58" spans="1:8" ht="14.25" x14ac:dyDescent="0.2">
      <c r="A58" s="366" t="s">
        <v>386</v>
      </c>
      <c r="B58" s="234">
        <v>3</v>
      </c>
      <c r="C58" s="1320"/>
      <c r="D58" s="1311">
        <f>D85</f>
        <v>0</v>
      </c>
      <c r="E58" s="1321"/>
      <c r="F58" s="1311">
        <f>F85</f>
        <v>0</v>
      </c>
      <c r="H58" s="96" t="s">
        <v>87</v>
      </c>
    </row>
    <row r="59" spans="1:8" ht="14.25" x14ac:dyDescent="0.2">
      <c r="A59" s="360" t="s">
        <v>387</v>
      </c>
      <c r="B59" s="234">
        <v>4</v>
      </c>
      <c r="C59" s="1320"/>
      <c r="D59" s="1311">
        <f>MAX(0,D86)</f>
        <v>0</v>
      </c>
      <c r="E59" s="1321"/>
      <c r="F59" s="1311">
        <f>MAX(0,F86)</f>
        <v>0</v>
      </c>
      <c r="H59" s="96" t="s">
        <v>87</v>
      </c>
    </row>
    <row r="60" spans="1:8" ht="14.25" x14ac:dyDescent="0.2">
      <c r="A60" s="366" t="s">
        <v>388</v>
      </c>
      <c r="B60" s="234">
        <v>5</v>
      </c>
      <c r="C60" s="1320"/>
      <c r="D60" s="1311">
        <f>MAX(0,D77)</f>
        <v>0</v>
      </c>
      <c r="E60" s="1321"/>
      <c r="F60" s="1311">
        <f>MAX(0,F77)</f>
        <v>0</v>
      </c>
      <c r="H60" s="96" t="s">
        <v>87</v>
      </c>
    </row>
    <row r="61" spans="1:8" ht="14.25" x14ac:dyDescent="0.2">
      <c r="A61" s="366" t="s">
        <v>389</v>
      </c>
      <c r="B61" s="234">
        <v>6</v>
      </c>
      <c r="C61" s="1320"/>
      <c r="D61" s="1311">
        <f>D74</f>
        <v>0</v>
      </c>
      <c r="E61" s="1321"/>
      <c r="F61" s="1311">
        <f>F74</f>
        <v>0</v>
      </c>
      <c r="H61" s="96" t="s">
        <v>87</v>
      </c>
    </row>
    <row r="62" spans="1:8" ht="14.25" x14ac:dyDescent="0.2">
      <c r="A62" s="360" t="s">
        <v>1508</v>
      </c>
      <c r="B62" s="234">
        <v>7</v>
      </c>
      <c r="C62" s="1320"/>
      <c r="D62" s="1330" t="s">
        <v>90</v>
      </c>
      <c r="E62" s="1321"/>
      <c r="F62" s="1330" t="s">
        <v>90</v>
      </c>
      <c r="H62" s="96" t="s">
        <v>87</v>
      </c>
    </row>
    <row r="63" spans="1:8" ht="14.25" x14ac:dyDescent="0.2">
      <c r="A63" s="360" t="s">
        <v>1509</v>
      </c>
      <c r="B63" s="234">
        <v>8</v>
      </c>
      <c r="C63" s="1320"/>
      <c r="D63" s="1330" t="s">
        <v>90</v>
      </c>
      <c r="E63" s="1321"/>
      <c r="F63" s="1330" t="s">
        <v>90</v>
      </c>
      <c r="H63" s="96" t="s">
        <v>87</v>
      </c>
    </row>
    <row r="64" spans="1:8" ht="14.25" x14ac:dyDescent="0.2">
      <c r="A64" s="360" t="s">
        <v>392</v>
      </c>
      <c r="B64" s="234">
        <v>9</v>
      </c>
      <c r="C64" s="1320"/>
      <c r="D64" s="1330" t="s">
        <v>90</v>
      </c>
      <c r="E64" s="1321"/>
      <c r="F64" s="1330" t="s">
        <v>90</v>
      </c>
      <c r="H64" s="96" t="s">
        <v>87</v>
      </c>
    </row>
    <row r="65" spans="1:8" ht="14.25" x14ac:dyDescent="0.2">
      <c r="A65" s="360" t="s">
        <v>393</v>
      </c>
      <c r="B65" s="234">
        <v>10</v>
      </c>
      <c r="C65" s="1320"/>
      <c r="D65" s="1311">
        <f>D93</f>
        <v>0</v>
      </c>
      <c r="E65" s="1321"/>
      <c r="F65" s="1311">
        <f>F93</f>
        <v>0</v>
      </c>
      <c r="H65" s="96" t="s">
        <v>87</v>
      </c>
    </row>
    <row r="66" spans="1:8" ht="14.25" x14ac:dyDescent="0.2">
      <c r="A66" s="360" t="s">
        <v>394</v>
      </c>
      <c r="B66" s="234">
        <v>11</v>
      </c>
      <c r="C66" s="1320"/>
      <c r="D66" s="1331" t="s">
        <v>90</v>
      </c>
      <c r="E66" s="1321"/>
      <c r="F66" s="1330" t="s">
        <v>90</v>
      </c>
      <c r="H66" s="96" t="s">
        <v>87</v>
      </c>
    </row>
    <row r="67" spans="1:8" ht="15.75" x14ac:dyDescent="0.25">
      <c r="A67" s="374" t="s">
        <v>1510</v>
      </c>
      <c r="B67" s="234">
        <v>12</v>
      </c>
      <c r="C67" s="1320"/>
      <c r="D67" s="1332">
        <f>SUM(D68:D69)</f>
        <v>0</v>
      </c>
      <c r="E67" s="1321"/>
      <c r="F67" s="1332">
        <f>SUM(F68:F69)</f>
        <v>0</v>
      </c>
      <c r="H67" s="96" t="s">
        <v>87</v>
      </c>
    </row>
    <row r="68" spans="1:8" ht="14.25" x14ac:dyDescent="0.2">
      <c r="A68" s="376" t="s">
        <v>1511</v>
      </c>
      <c r="B68" s="234">
        <v>13</v>
      </c>
      <c r="C68" s="1320"/>
      <c r="D68" s="1330" t="s">
        <v>90</v>
      </c>
      <c r="E68" s="1321"/>
      <c r="F68" s="1330" t="s">
        <v>90</v>
      </c>
      <c r="H68" s="96" t="s">
        <v>87</v>
      </c>
    </row>
    <row r="69" spans="1:8" ht="14.25" x14ac:dyDescent="0.2">
      <c r="A69" s="368" t="s">
        <v>397</v>
      </c>
      <c r="B69" s="234">
        <v>14</v>
      </c>
      <c r="C69" s="1320"/>
      <c r="D69" s="369" t="s">
        <v>90</v>
      </c>
      <c r="E69" s="1321"/>
      <c r="F69" s="369" t="s">
        <v>90</v>
      </c>
      <c r="H69" s="96" t="s">
        <v>87</v>
      </c>
    </row>
    <row r="70" spans="1:8" ht="15.75" x14ac:dyDescent="0.25">
      <c r="A70" s="374" t="s">
        <v>398</v>
      </c>
      <c r="B70" s="234"/>
      <c r="C70" s="1320"/>
      <c r="D70" s="382"/>
      <c r="E70" s="1321"/>
      <c r="F70" s="382"/>
      <c r="H70" s="96" t="s">
        <v>87</v>
      </c>
    </row>
    <row r="71" spans="1:8" ht="14.25" x14ac:dyDescent="0.2">
      <c r="A71" s="360" t="s">
        <v>163</v>
      </c>
      <c r="B71" s="234">
        <v>15</v>
      </c>
      <c r="C71" s="1320"/>
      <c r="D71" s="361">
        <f>'ICS.Balance sheet'!H91</f>
        <v>0</v>
      </c>
      <c r="E71" s="1321"/>
      <c r="F71" s="361">
        <f>'ICS.Balance sheet'!L91</f>
        <v>0</v>
      </c>
      <c r="H71" s="96" t="s">
        <v>87</v>
      </c>
    </row>
    <row r="72" spans="1:8" ht="14.25" x14ac:dyDescent="0.2">
      <c r="A72" s="384" t="s">
        <v>399</v>
      </c>
      <c r="B72" s="234">
        <v>16</v>
      </c>
      <c r="C72" s="1320"/>
      <c r="D72" s="363" t="str">
        <f>'BCR.Capital resources'!C49</f>
        <v>-</v>
      </c>
      <c r="E72" s="1321"/>
      <c r="F72" s="1330" t="s">
        <v>90</v>
      </c>
      <c r="H72" s="96" t="s">
        <v>87</v>
      </c>
    </row>
    <row r="73" spans="1:8" ht="14.25" x14ac:dyDescent="0.2">
      <c r="A73" s="360" t="s">
        <v>400</v>
      </c>
      <c r="B73" s="234">
        <v>17</v>
      </c>
      <c r="C73" s="1320"/>
      <c r="D73" s="363" t="str">
        <f>'BCR.Capital resources'!C50</f>
        <v>-</v>
      </c>
      <c r="E73" s="1321"/>
      <c r="F73" s="1330" t="s">
        <v>90</v>
      </c>
      <c r="H73" s="96" t="s">
        <v>87</v>
      </c>
    </row>
    <row r="74" spans="1:8" ht="14.25" x14ac:dyDescent="0.2">
      <c r="A74" s="384" t="s">
        <v>401</v>
      </c>
      <c r="B74" s="234">
        <v>18</v>
      </c>
      <c r="C74" s="1320"/>
      <c r="D74" s="386">
        <f>D72-D73</f>
        <v>0</v>
      </c>
      <c r="E74" s="1321"/>
      <c r="F74" s="386">
        <f>F72-F73</f>
        <v>0</v>
      </c>
      <c r="H74" s="96" t="s">
        <v>87</v>
      </c>
    </row>
    <row r="75" spans="1:8" ht="14.25" x14ac:dyDescent="0.2">
      <c r="A75" s="387" t="s">
        <v>402</v>
      </c>
      <c r="B75" s="234">
        <v>19</v>
      </c>
      <c r="C75" s="1320"/>
      <c r="D75" s="1333" t="str">
        <f>'BCR.Capital resources'!C52</f>
        <v>-</v>
      </c>
      <c r="E75" s="1321"/>
      <c r="F75" s="1334" t="s">
        <v>90</v>
      </c>
      <c r="H75" s="96" t="s">
        <v>87</v>
      </c>
    </row>
    <row r="76" spans="1:8" ht="14.25" x14ac:dyDescent="0.2">
      <c r="A76" s="360" t="s">
        <v>403</v>
      </c>
      <c r="B76" s="234">
        <v>20</v>
      </c>
      <c r="C76" s="1320"/>
      <c r="D76" s="1333" t="str">
        <f>'BCR.Capital resources'!C53</f>
        <v>-</v>
      </c>
      <c r="E76" s="1321"/>
      <c r="F76" s="1334" t="s">
        <v>90</v>
      </c>
      <c r="H76" s="96" t="s">
        <v>87</v>
      </c>
    </row>
    <row r="77" spans="1:8" ht="14.25" x14ac:dyDescent="0.2">
      <c r="A77" s="387" t="s">
        <v>404</v>
      </c>
      <c r="B77" s="234">
        <v>21</v>
      </c>
      <c r="C77" s="1320"/>
      <c r="D77" s="389">
        <f>D75-D76</f>
        <v>0</v>
      </c>
      <c r="E77" s="1321"/>
      <c r="F77" s="389">
        <f>F75-F76</f>
        <v>0</v>
      </c>
      <c r="H77" s="96" t="s">
        <v>87</v>
      </c>
    </row>
    <row r="78" spans="1:8" ht="14.25" x14ac:dyDescent="0.2">
      <c r="A78" s="360" t="s">
        <v>405</v>
      </c>
      <c r="B78" s="234">
        <v>22</v>
      </c>
      <c r="C78" s="1320"/>
      <c r="D78" s="363" t="str">
        <f>'BCR.Capital resources'!C55</f>
        <v>-</v>
      </c>
      <c r="E78" s="1321"/>
      <c r="F78" s="1330" t="s">
        <v>90</v>
      </c>
      <c r="H78" s="96" t="s">
        <v>87</v>
      </c>
    </row>
    <row r="79" spans="1:8" ht="14.25" x14ac:dyDescent="0.2">
      <c r="A79" s="384" t="s">
        <v>406</v>
      </c>
      <c r="B79" s="234">
        <v>23</v>
      </c>
      <c r="C79" s="1320"/>
      <c r="D79" s="386">
        <f>D77-D78</f>
        <v>0</v>
      </c>
      <c r="E79" s="1321"/>
      <c r="F79" s="386">
        <f>F77-F78</f>
        <v>0</v>
      </c>
      <c r="H79" s="96" t="s">
        <v>87</v>
      </c>
    </row>
    <row r="80" spans="1:8" ht="14.25" x14ac:dyDescent="0.2">
      <c r="A80" s="384" t="s">
        <v>311</v>
      </c>
      <c r="B80" s="234">
        <v>24</v>
      </c>
      <c r="C80" s="1320"/>
      <c r="D80" s="1335">
        <f>SUM('ICS.Balance sheet'!H46)</f>
        <v>0</v>
      </c>
      <c r="E80" s="1321"/>
      <c r="F80" s="1335">
        <f>SUM('ICS.Balance sheet'!L46)</f>
        <v>0</v>
      </c>
      <c r="H80" s="96" t="s">
        <v>87</v>
      </c>
    </row>
    <row r="81" spans="1:8" ht="14.25" x14ac:dyDescent="0.2">
      <c r="A81" s="360" t="s">
        <v>407</v>
      </c>
      <c r="B81" s="234">
        <v>25</v>
      </c>
      <c r="C81" s="1320"/>
      <c r="D81" s="1333" t="str">
        <f>'BCR.Capital resources'!C58</f>
        <v>-</v>
      </c>
      <c r="E81" s="1321"/>
      <c r="F81" s="1334" t="s">
        <v>90</v>
      </c>
      <c r="H81" s="96" t="s">
        <v>87</v>
      </c>
    </row>
    <row r="82" spans="1:8" ht="14.25" x14ac:dyDescent="0.2">
      <c r="A82" s="392" t="s">
        <v>408</v>
      </c>
      <c r="B82" s="234">
        <v>26</v>
      </c>
      <c r="C82" s="1320"/>
      <c r="D82" s="386">
        <f>D80-D81</f>
        <v>0</v>
      </c>
      <c r="E82" s="1321"/>
      <c r="F82" s="386">
        <f>F80-F81</f>
        <v>0</v>
      </c>
      <c r="H82" s="96" t="s">
        <v>87</v>
      </c>
    </row>
    <row r="83" spans="1:8" ht="14.25" x14ac:dyDescent="0.2">
      <c r="A83" s="387" t="s">
        <v>409</v>
      </c>
      <c r="B83" s="234">
        <v>27</v>
      </c>
      <c r="C83" s="1320"/>
      <c r="D83" s="1333" t="str">
        <f>'BCR.Capital resources'!C60</f>
        <v>-</v>
      </c>
      <c r="E83" s="1321"/>
      <c r="F83" s="1334" t="s">
        <v>90</v>
      </c>
      <c r="H83" s="96" t="s">
        <v>87</v>
      </c>
    </row>
    <row r="84" spans="1:8" ht="14.25" x14ac:dyDescent="0.2">
      <c r="A84" s="360" t="s">
        <v>400</v>
      </c>
      <c r="B84" s="234">
        <v>28</v>
      </c>
      <c r="C84" s="1320"/>
      <c r="D84" s="1333" t="str">
        <f>'BCR.Capital resources'!C61</f>
        <v>-</v>
      </c>
      <c r="E84" s="1321"/>
      <c r="F84" s="1334" t="s">
        <v>90</v>
      </c>
      <c r="H84" s="96" t="s">
        <v>87</v>
      </c>
    </row>
    <row r="85" spans="1:8" ht="14.25" x14ac:dyDescent="0.2">
      <c r="A85" s="392" t="s">
        <v>410</v>
      </c>
      <c r="B85" s="234">
        <v>29</v>
      </c>
      <c r="C85" s="1320"/>
      <c r="D85" s="389">
        <f>D83-D84</f>
        <v>0</v>
      </c>
      <c r="E85" s="1321"/>
      <c r="F85" s="389">
        <f>F83-F84</f>
        <v>0</v>
      </c>
      <c r="H85" s="96" t="s">
        <v>87</v>
      </c>
    </row>
    <row r="86" spans="1:8" ht="14.25" x14ac:dyDescent="0.2">
      <c r="A86" s="384" t="s">
        <v>411</v>
      </c>
      <c r="B86" s="234">
        <v>30</v>
      </c>
      <c r="C86" s="1320"/>
      <c r="D86" s="363" t="str">
        <f>'BCR.Capital resources'!C63</f>
        <v>-</v>
      </c>
      <c r="E86" s="1321"/>
      <c r="F86" s="1330" t="s">
        <v>90</v>
      </c>
      <c r="H86" s="96" t="s">
        <v>87</v>
      </c>
    </row>
    <row r="87" spans="1:8" ht="14.25" x14ac:dyDescent="0.2">
      <c r="A87" s="1336" t="s">
        <v>412</v>
      </c>
      <c r="B87" s="234">
        <v>31</v>
      </c>
      <c r="C87" s="1320"/>
      <c r="D87" s="363" t="str">
        <f>'BCR.Capital resources'!C64</f>
        <v>-</v>
      </c>
      <c r="E87" s="1321"/>
      <c r="F87" s="1330" t="s">
        <v>90</v>
      </c>
      <c r="H87" s="96" t="s">
        <v>87</v>
      </c>
    </row>
    <row r="88" spans="1:8" ht="14.25" x14ac:dyDescent="0.2">
      <c r="A88" s="384" t="s">
        <v>413</v>
      </c>
      <c r="B88" s="234">
        <v>32</v>
      </c>
      <c r="C88" s="1320"/>
      <c r="D88" s="389">
        <f>D86-D87</f>
        <v>0</v>
      </c>
      <c r="E88" s="1321"/>
      <c r="F88" s="389">
        <f>F86-F87</f>
        <v>0</v>
      </c>
      <c r="H88" s="96" t="s">
        <v>87</v>
      </c>
    </row>
    <row r="89" spans="1:8" ht="14.25" x14ac:dyDescent="0.2">
      <c r="A89" s="384" t="s">
        <v>414</v>
      </c>
      <c r="B89" s="234">
        <v>33</v>
      </c>
      <c r="C89" s="1320"/>
      <c r="D89" s="363" t="str">
        <f>'BCR.Capital resources'!C66</f>
        <v>-</v>
      </c>
      <c r="E89" s="1321"/>
      <c r="F89" s="1330" t="s">
        <v>90</v>
      </c>
      <c r="H89" s="96" t="s">
        <v>87</v>
      </c>
    </row>
    <row r="90" spans="1:8" ht="14.25" x14ac:dyDescent="0.2">
      <c r="A90" s="366" t="s">
        <v>415</v>
      </c>
      <c r="B90" s="234">
        <v>34</v>
      </c>
      <c r="C90" s="1320"/>
      <c r="D90" s="363" t="str">
        <f>'BCR.Capital resources'!C67</f>
        <v>-</v>
      </c>
      <c r="E90" s="1321"/>
      <c r="F90" s="1330" t="s">
        <v>90</v>
      </c>
      <c r="H90" s="96" t="s">
        <v>87</v>
      </c>
    </row>
    <row r="91" spans="1:8" ht="14.25" x14ac:dyDescent="0.2">
      <c r="A91" s="366" t="s">
        <v>416</v>
      </c>
      <c r="B91" s="234">
        <v>35</v>
      </c>
      <c r="C91" s="1320"/>
      <c r="D91" s="363" t="str">
        <f>'BCR.Capital resources'!C68</f>
        <v>-</v>
      </c>
      <c r="E91" s="1321"/>
      <c r="F91" s="1330" t="s">
        <v>90</v>
      </c>
      <c r="H91" s="96" t="s">
        <v>87</v>
      </c>
    </row>
    <row r="92" spans="1:8" ht="14.25" x14ac:dyDescent="0.2">
      <c r="A92" s="393" t="s">
        <v>417</v>
      </c>
      <c r="B92" s="234">
        <v>36</v>
      </c>
      <c r="C92" s="1320"/>
      <c r="D92" s="363" t="str">
        <f>'BCR.Capital resources'!C69</f>
        <v>-</v>
      </c>
      <c r="E92" s="1321"/>
      <c r="F92" s="1330" t="s">
        <v>90</v>
      </c>
      <c r="H92" s="96" t="s">
        <v>87</v>
      </c>
    </row>
    <row r="93" spans="1:8" ht="14.25" x14ac:dyDescent="0.2">
      <c r="A93" s="394" t="s">
        <v>418</v>
      </c>
      <c r="B93" s="261">
        <v>37</v>
      </c>
      <c r="C93" s="1327"/>
      <c r="D93" s="395">
        <f>D89-D90-D91-D92</f>
        <v>0</v>
      </c>
      <c r="E93" s="1328"/>
      <c r="F93" s="395">
        <f>F89-F90-F91-F92</f>
        <v>0</v>
      </c>
      <c r="H93" s="96" t="s">
        <v>87</v>
      </c>
    </row>
    <row r="94" spans="1:8" ht="14.25" x14ac:dyDescent="0.2">
      <c r="H94" s="96" t="s">
        <v>87</v>
      </c>
    </row>
    <row r="95" spans="1:8" ht="14.25" x14ac:dyDescent="0.2">
      <c r="A95" s="96" t="s">
        <v>87</v>
      </c>
      <c r="B95" s="96" t="s">
        <v>87</v>
      </c>
      <c r="C95" s="96" t="s">
        <v>87</v>
      </c>
      <c r="D95" s="96" t="s">
        <v>87</v>
      </c>
      <c r="E95" s="96" t="s">
        <v>87</v>
      </c>
      <c r="F95" s="96" t="s">
        <v>87</v>
      </c>
      <c r="G95" s="96" t="s">
        <v>87</v>
      </c>
      <c r="H95" s="96" t="s">
        <v>87</v>
      </c>
    </row>
  </sheetData>
  <printOptions horizontalCentered="1"/>
  <pageMargins left="0.39370078740157483" right="0.39370078740157483" top="0.31496062992125984" bottom="0.43307086614173229" header="0.39370078740157483" footer="0.23622047244094491"/>
  <pageSetup scale="43" orientation="landscape" horizontalDpi="1200" verticalDpi="1200" r:id="rId1"/>
  <headerFooter alignWithMargins="0">
    <oddFoote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249977111117893"/>
    <pageSetUpPr fitToPage="1"/>
  </sheetPr>
  <dimension ref="A1:Y59"/>
  <sheetViews>
    <sheetView workbookViewId="0"/>
  </sheetViews>
  <sheetFormatPr defaultColWidth="9.140625" defaultRowHeight="12.75" x14ac:dyDescent="0.2"/>
  <cols>
    <col min="1" max="1" width="46.28515625" style="929" customWidth="1"/>
    <col min="2" max="2" width="4.42578125" style="929" customWidth="1"/>
    <col min="3" max="3" width="15" customWidth="1"/>
    <col min="4" max="4" width="19.85546875" customWidth="1"/>
    <col min="5" max="5" width="20.42578125" customWidth="1"/>
    <col min="6" max="6" width="18" customWidth="1"/>
    <col min="7" max="7" width="16.7109375" customWidth="1"/>
    <col min="8" max="11" width="18.140625" customWidth="1"/>
    <col min="12" max="12" width="23.28515625" customWidth="1"/>
    <col min="13" max="13" width="25.42578125" customWidth="1"/>
    <col min="14" max="14" width="23.7109375" customWidth="1"/>
    <col min="15" max="16" width="19.7109375" customWidth="1"/>
    <col min="17" max="17" width="21.140625" customWidth="1"/>
    <col min="18" max="19" width="20.85546875" customWidth="1"/>
    <col min="20" max="20" width="14.7109375" customWidth="1"/>
    <col min="21" max="21" width="1.7109375" customWidth="1"/>
    <col min="22" max="22" width="2" customWidth="1"/>
  </cols>
  <sheetData>
    <row r="1" spans="1:25" ht="16.5" customHeight="1" x14ac:dyDescent="0.2">
      <c r="A1" s="93" t="str">
        <f>FT15.Participant!$A$1</f>
        <v>&lt;IAIG's Name&gt;</v>
      </c>
      <c r="B1" s="94"/>
      <c r="C1" s="94"/>
      <c r="D1" s="94"/>
      <c r="E1" s="94"/>
      <c r="F1" s="94"/>
      <c r="G1" s="94"/>
      <c r="H1" s="95" t="str">
        <f ca="1">HYPERLINK("#"&amp;CELL("address",FT15.IndexSheet),Version)</f>
        <v>2015 IAIS Field Testing Template</v>
      </c>
      <c r="V1" s="699" t="s">
        <v>87</v>
      </c>
    </row>
    <row r="2" spans="1:25" ht="16.5" customHeight="1" x14ac:dyDescent="0.25">
      <c r="A2" s="97" t="str">
        <f>FT15.Participant!$A$2</f>
        <v>&lt;Currency&gt; - (&lt;Unit&gt;)</v>
      </c>
      <c r="B2" s="98" t="s">
        <v>63</v>
      </c>
      <c r="C2" s="99"/>
      <c r="D2" s="99"/>
      <c r="E2" s="99"/>
      <c r="F2" s="99"/>
      <c r="G2" s="99"/>
      <c r="H2" s="100" t="str">
        <f>FT15.Participant!$E$2</f>
        <v xml:space="preserve">&lt;Reporting Date&gt; - </v>
      </c>
      <c r="V2" s="699" t="s">
        <v>87</v>
      </c>
    </row>
    <row r="3" spans="1:25" ht="16.5" customHeight="1" x14ac:dyDescent="0.2">
      <c r="V3" s="699" t="s">
        <v>87</v>
      </c>
    </row>
    <row r="4" spans="1:25" ht="16.5" customHeight="1" x14ac:dyDescent="0.2">
      <c r="V4" s="699" t="s">
        <v>87</v>
      </c>
    </row>
    <row r="5" spans="1:25" ht="16.5" customHeight="1" x14ac:dyDescent="0.2">
      <c r="A5" s="264"/>
      <c r="B5" s="1337"/>
      <c r="C5" s="1252"/>
      <c r="D5" s="1338"/>
      <c r="E5" s="1338"/>
      <c r="F5" s="1338"/>
      <c r="G5" s="1338"/>
      <c r="H5" s="1339"/>
      <c r="I5" s="1252"/>
      <c r="J5" s="1339"/>
      <c r="K5" s="1252"/>
      <c r="L5" s="1338"/>
      <c r="M5" s="1338"/>
      <c r="N5" s="1338"/>
      <c r="O5" s="1551" t="s">
        <v>1512</v>
      </c>
      <c r="P5" s="1552"/>
      <c r="Q5" s="1340" t="s">
        <v>1513</v>
      </c>
      <c r="R5" s="1341"/>
      <c r="S5" s="1341"/>
      <c r="T5" s="1342"/>
      <c r="V5" s="699" t="s">
        <v>87</v>
      </c>
    </row>
    <row r="6" spans="1:25" ht="42.75" x14ac:dyDescent="0.2">
      <c r="A6" s="1343" t="s">
        <v>1514</v>
      </c>
      <c r="B6" s="1344"/>
      <c r="C6" s="1345" t="s">
        <v>1515</v>
      </c>
      <c r="D6" s="1346" t="s">
        <v>1516</v>
      </c>
      <c r="E6" s="1346" t="s">
        <v>1517</v>
      </c>
      <c r="F6" s="1346" t="s">
        <v>1518</v>
      </c>
      <c r="G6" s="1347" t="s">
        <v>350</v>
      </c>
      <c r="H6" s="1348" t="s">
        <v>1519</v>
      </c>
      <c r="I6" s="1345" t="s">
        <v>1520</v>
      </c>
      <c r="J6" s="1348" t="s">
        <v>1521</v>
      </c>
      <c r="K6" s="1345" t="s">
        <v>1522</v>
      </c>
      <c r="L6" s="1346" t="s">
        <v>1523</v>
      </c>
      <c r="M6" s="1346" t="s">
        <v>350</v>
      </c>
      <c r="N6" s="1346" t="s">
        <v>1524</v>
      </c>
      <c r="O6" s="1345" t="s">
        <v>1525</v>
      </c>
      <c r="P6" s="1348" t="s">
        <v>1526</v>
      </c>
      <c r="Q6" s="1345" t="s">
        <v>1527</v>
      </c>
      <c r="R6" s="1346" t="s">
        <v>1528</v>
      </c>
      <c r="S6" s="1346" t="s">
        <v>1529</v>
      </c>
      <c r="T6" s="1348" t="s">
        <v>1530</v>
      </c>
      <c r="V6" s="699" t="s">
        <v>87</v>
      </c>
    </row>
    <row r="7" spans="1:25" x14ac:dyDescent="0.2">
      <c r="A7" s="1349"/>
      <c r="B7" s="124">
        <v>152</v>
      </c>
      <c r="C7" s="105" t="s">
        <v>1379</v>
      </c>
      <c r="D7" s="105" t="s">
        <v>1531</v>
      </c>
      <c r="E7" s="105" t="s">
        <v>1532</v>
      </c>
      <c r="F7" s="105" t="s">
        <v>1533</v>
      </c>
      <c r="G7" s="105" t="s">
        <v>1534</v>
      </c>
      <c r="H7" s="105" t="s">
        <v>1535</v>
      </c>
      <c r="I7" s="105" t="s">
        <v>1536</v>
      </c>
      <c r="J7" s="105" t="s">
        <v>1537</v>
      </c>
      <c r="K7" s="105" t="s">
        <v>1538</v>
      </c>
      <c r="L7" s="105" t="s">
        <v>1539</v>
      </c>
      <c r="M7" s="105" t="s">
        <v>1540</v>
      </c>
      <c r="N7" s="105" t="s">
        <v>1541</v>
      </c>
      <c r="O7" s="105" t="s">
        <v>1542</v>
      </c>
      <c r="P7" s="105" t="s">
        <v>1543</v>
      </c>
      <c r="Q7" s="105" t="s">
        <v>1544</v>
      </c>
      <c r="R7" s="105" t="s">
        <v>1545</v>
      </c>
      <c r="S7" s="105" t="s">
        <v>1546</v>
      </c>
      <c r="T7" s="106" t="s">
        <v>1547</v>
      </c>
      <c r="V7" s="699" t="s">
        <v>87</v>
      </c>
    </row>
    <row r="8" spans="1:25" ht="15" x14ac:dyDescent="0.2">
      <c r="A8" s="305" t="s">
        <v>367</v>
      </c>
      <c r="B8" s="945"/>
      <c r="C8" s="224"/>
      <c r="D8" s="225"/>
      <c r="E8" s="225"/>
      <c r="F8" s="225"/>
      <c r="G8" s="225"/>
      <c r="H8" s="225"/>
      <c r="I8" s="225"/>
      <c r="J8" s="225"/>
      <c r="K8" s="225"/>
      <c r="L8" s="225"/>
      <c r="M8" s="225"/>
      <c r="N8" s="225"/>
      <c r="O8" s="225"/>
      <c r="P8" s="225"/>
      <c r="Q8" s="225"/>
      <c r="R8" s="225"/>
      <c r="S8" s="225"/>
      <c r="T8" s="742"/>
      <c r="V8" s="699" t="s">
        <v>87</v>
      </c>
    </row>
    <row r="9" spans="1:25" x14ac:dyDescent="0.2">
      <c r="A9" s="1350" t="s">
        <v>262</v>
      </c>
      <c r="B9" s="945">
        <v>1</v>
      </c>
      <c r="C9" s="257">
        <f>SUM('ICS.Balance sheet'!C115)</f>
        <v>0</v>
      </c>
      <c r="D9" s="258">
        <f>SUM(D10:D16)</f>
        <v>0</v>
      </c>
      <c r="E9" s="258">
        <f>SUM(E10:E16)</f>
        <v>0</v>
      </c>
      <c r="F9" s="258">
        <f>SUM(F10:F16)</f>
        <v>0</v>
      </c>
      <c r="G9" s="258">
        <f>SUM(G10:G16)</f>
        <v>0</v>
      </c>
      <c r="H9" s="811">
        <f t="shared" ref="H9:H31" si="0">SUM(C9,D9,E9,G9)-SUM(F9)</f>
        <v>0</v>
      </c>
      <c r="I9" s="1351">
        <f>SUM(I10:I16)</f>
        <v>0</v>
      </c>
      <c r="J9" s="811">
        <f>SUM(H9:I9)</f>
        <v>0</v>
      </c>
      <c r="K9" s="1351">
        <f>SUM(K10:K16)</f>
        <v>0</v>
      </c>
      <c r="L9" s="258">
        <f>SUM(L10:L16)</f>
        <v>0</v>
      </c>
      <c r="M9" s="258">
        <f>SUM(M10:M16)</f>
        <v>0</v>
      </c>
      <c r="N9" s="811">
        <f t="shared" ref="N9:N31" si="1">SUM(J9:M9)</f>
        <v>0</v>
      </c>
      <c r="O9" s="1352"/>
      <c r="P9" s="1353"/>
      <c r="Q9" s="1351">
        <f>SUM(Q10:Q16)</f>
        <v>0</v>
      </c>
      <c r="R9" s="258">
        <f>SUM(R10:R16)</f>
        <v>0</v>
      </c>
      <c r="S9" s="258">
        <f>SUM(S10:S16)</f>
        <v>0</v>
      </c>
      <c r="T9" s="811">
        <f>SUM(T10:T16)</f>
        <v>0</v>
      </c>
      <c r="V9" s="699" t="s">
        <v>87</v>
      </c>
      <c r="X9" s="4" t="s">
        <v>90</v>
      </c>
      <c r="Y9" s="4" t="s">
        <v>90</v>
      </c>
    </row>
    <row r="10" spans="1:25" x14ac:dyDescent="0.2">
      <c r="A10" s="314" t="s">
        <v>263</v>
      </c>
      <c r="B10" s="945">
        <v>2</v>
      </c>
      <c r="C10" s="257">
        <f>SUM('ICS.Balance sheet'!C116)</f>
        <v>0</v>
      </c>
      <c r="D10" s="6" t="s">
        <v>90</v>
      </c>
      <c r="E10" s="6" t="s">
        <v>90</v>
      </c>
      <c r="F10" s="6" t="s">
        <v>90</v>
      </c>
      <c r="G10" s="6" t="s">
        <v>90</v>
      </c>
      <c r="H10" s="811">
        <f t="shared" si="0"/>
        <v>0</v>
      </c>
      <c r="I10" s="1354" t="s">
        <v>90</v>
      </c>
      <c r="J10" s="811">
        <f t="shared" ref="J10:J31" si="2">SUM(H10:I10)</f>
        <v>0</v>
      </c>
      <c r="K10" s="1354" t="s">
        <v>90</v>
      </c>
      <c r="L10" s="6" t="s">
        <v>90</v>
      </c>
      <c r="M10" s="6" t="s">
        <v>90</v>
      </c>
      <c r="N10" s="811">
        <f t="shared" si="1"/>
        <v>0</v>
      </c>
      <c r="O10" s="1354" t="s">
        <v>90</v>
      </c>
      <c r="P10" s="1354" t="s">
        <v>90</v>
      </c>
      <c r="Q10" s="1354" t="s">
        <v>90</v>
      </c>
      <c r="R10" s="6" t="s">
        <v>90</v>
      </c>
      <c r="S10" s="6" t="s">
        <v>90</v>
      </c>
      <c r="T10" s="1033" t="s">
        <v>90</v>
      </c>
      <c r="V10" s="699" t="s">
        <v>87</v>
      </c>
      <c r="X10" s="4" t="s">
        <v>1548</v>
      </c>
      <c r="Y10" s="4" t="s">
        <v>1548</v>
      </c>
    </row>
    <row r="11" spans="1:25" x14ac:dyDescent="0.2">
      <c r="A11" s="314" t="s">
        <v>264</v>
      </c>
      <c r="B11" s="945">
        <v>3</v>
      </c>
      <c r="C11" s="257">
        <f>SUM('ICS.Balance sheet'!C117)</f>
        <v>0</v>
      </c>
      <c r="D11" s="6" t="s">
        <v>90</v>
      </c>
      <c r="E11" s="6" t="s">
        <v>90</v>
      </c>
      <c r="F11" s="6" t="s">
        <v>90</v>
      </c>
      <c r="G11" s="6" t="s">
        <v>90</v>
      </c>
      <c r="H11" s="811">
        <f t="shared" si="0"/>
        <v>0</v>
      </c>
      <c r="I11" s="1354" t="s">
        <v>90</v>
      </c>
      <c r="J11" s="811">
        <f t="shared" si="2"/>
        <v>0</v>
      </c>
      <c r="K11" s="1354" t="s">
        <v>90</v>
      </c>
      <c r="L11" s="6" t="s">
        <v>90</v>
      </c>
      <c r="M11" s="6" t="s">
        <v>90</v>
      </c>
      <c r="N11" s="811">
        <f t="shared" si="1"/>
        <v>0</v>
      </c>
      <c r="O11" s="1354" t="s">
        <v>90</v>
      </c>
      <c r="P11" s="1354" t="s">
        <v>90</v>
      </c>
      <c r="Q11" s="1354" t="s">
        <v>90</v>
      </c>
      <c r="R11" s="6" t="s">
        <v>90</v>
      </c>
      <c r="S11" s="6" t="s">
        <v>90</v>
      </c>
      <c r="T11" s="1033" t="s">
        <v>90</v>
      </c>
      <c r="V11" s="699" t="s">
        <v>87</v>
      </c>
      <c r="X11" s="4" t="s">
        <v>1549</v>
      </c>
      <c r="Y11" s="4" t="s">
        <v>1549</v>
      </c>
    </row>
    <row r="12" spans="1:25" x14ac:dyDescent="0.2">
      <c r="A12" s="314" t="s">
        <v>265</v>
      </c>
      <c r="B12" s="945">
        <v>4</v>
      </c>
      <c r="C12" s="257">
        <f>SUM('ICS.Balance sheet'!C118)</f>
        <v>0</v>
      </c>
      <c r="D12" s="6" t="s">
        <v>90</v>
      </c>
      <c r="E12" s="6" t="s">
        <v>90</v>
      </c>
      <c r="F12" s="6" t="s">
        <v>90</v>
      </c>
      <c r="G12" s="6" t="s">
        <v>90</v>
      </c>
      <c r="H12" s="811">
        <f t="shared" si="0"/>
        <v>0</v>
      </c>
      <c r="I12" s="1354" t="s">
        <v>90</v>
      </c>
      <c r="J12" s="811">
        <f t="shared" si="2"/>
        <v>0</v>
      </c>
      <c r="K12" s="1354" t="s">
        <v>90</v>
      </c>
      <c r="L12" s="6" t="s">
        <v>90</v>
      </c>
      <c r="M12" s="6" t="s">
        <v>90</v>
      </c>
      <c r="N12" s="811">
        <f t="shared" si="1"/>
        <v>0</v>
      </c>
      <c r="O12" s="1354" t="s">
        <v>90</v>
      </c>
      <c r="P12" s="1354" t="s">
        <v>90</v>
      </c>
      <c r="Q12" s="1354" t="s">
        <v>90</v>
      </c>
      <c r="R12" s="6" t="s">
        <v>90</v>
      </c>
      <c r="S12" s="6" t="s">
        <v>90</v>
      </c>
      <c r="T12" s="1033" t="s">
        <v>90</v>
      </c>
      <c r="V12" s="699" t="s">
        <v>87</v>
      </c>
      <c r="X12" s="4" t="s">
        <v>1550</v>
      </c>
      <c r="Y12" s="4" t="s">
        <v>1550</v>
      </c>
    </row>
    <row r="13" spans="1:25" x14ac:dyDescent="0.2">
      <c r="A13" s="314" t="s">
        <v>266</v>
      </c>
      <c r="B13" s="945">
        <v>5</v>
      </c>
      <c r="C13" s="257">
        <f>SUM('ICS.Balance sheet'!C119)</f>
        <v>0</v>
      </c>
      <c r="D13" s="6" t="s">
        <v>90</v>
      </c>
      <c r="E13" s="6" t="s">
        <v>90</v>
      </c>
      <c r="F13" s="6" t="s">
        <v>90</v>
      </c>
      <c r="G13" s="6" t="s">
        <v>90</v>
      </c>
      <c r="H13" s="811">
        <f t="shared" si="0"/>
        <v>0</v>
      </c>
      <c r="I13" s="1354" t="s">
        <v>90</v>
      </c>
      <c r="J13" s="811">
        <f t="shared" si="2"/>
        <v>0</v>
      </c>
      <c r="K13" s="1354" t="s">
        <v>90</v>
      </c>
      <c r="L13" s="6" t="s">
        <v>90</v>
      </c>
      <c r="M13" s="6" t="s">
        <v>90</v>
      </c>
      <c r="N13" s="811">
        <f t="shared" si="1"/>
        <v>0</v>
      </c>
      <c r="O13" s="1354" t="s">
        <v>90</v>
      </c>
      <c r="P13" s="1354" t="s">
        <v>90</v>
      </c>
      <c r="Q13" s="1354" t="s">
        <v>90</v>
      </c>
      <c r="R13" s="6" t="s">
        <v>90</v>
      </c>
      <c r="S13" s="6" t="s">
        <v>90</v>
      </c>
      <c r="T13" s="1033" t="s">
        <v>90</v>
      </c>
      <c r="V13" s="699" t="s">
        <v>87</v>
      </c>
    </row>
    <row r="14" spans="1:25" x14ac:dyDescent="0.2">
      <c r="A14" s="314" t="s">
        <v>188</v>
      </c>
      <c r="B14" s="945">
        <v>6</v>
      </c>
      <c r="C14" s="257">
        <f>SUM('ICS.Balance sheet'!C120)</f>
        <v>0</v>
      </c>
      <c r="D14" s="6" t="s">
        <v>90</v>
      </c>
      <c r="E14" s="6" t="s">
        <v>90</v>
      </c>
      <c r="F14" s="6" t="s">
        <v>90</v>
      </c>
      <c r="G14" s="6" t="s">
        <v>90</v>
      </c>
      <c r="H14" s="811">
        <f t="shared" si="0"/>
        <v>0</v>
      </c>
      <c r="I14" s="1354" t="s">
        <v>90</v>
      </c>
      <c r="J14" s="811">
        <f t="shared" si="2"/>
        <v>0</v>
      </c>
      <c r="K14" s="1354" t="s">
        <v>90</v>
      </c>
      <c r="L14" s="6" t="s">
        <v>90</v>
      </c>
      <c r="M14" s="6" t="s">
        <v>90</v>
      </c>
      <c r="N14" s="811">
        <f t="shared" si="1"/>
        <v>0</v>
      </c>
      <c r="O14" s="1354" t="s">
        <v>90</v>
      </c>
      <c r="P14" s="1354" t="s">
        <v>90</v>
      </c>
      <c r="Q14" s="1354" t="s">
        <v>90</v>
      </c>
      <c r="R14" s="6" t="s">
        <v>90</v>
      </c>
      <c r="S14" s="6" t="s">
        <v>90</v>
      </c>
      <c r="T14" s="1033" t="s">
        <v>90</v>
      </c>
      <c r="V14" s="699" t="s">
        <v>87</v>
      </c>
    </row>
    <row r="15" spans="1:25" x14ac:dyDescent="0.2">
      <c r="A15" s="314" t="s">
        <v>186</v>
      </c>
      <c r="B15" s="945">
        <v>7</v>
      </c>
      <c r="C15" s="257">
        <f>SUM('ICS.Balance sheet'!C121)</f>
        <v>0</v>
      </c>
      <c r="D15" s="6" t="s">
        <v>90</v>
      </c>
      <c r="E15" s="6" t="s">
        <v>90</v>
      </c>
      <c r="F15" s="6" t="s">
        <v>90</v>
      </c>
      <c r="G15" s="6" t="s">
        <v>90</v>
      </c>
      <c r="H15" s="811">
        <f t="shared" si="0"/>
        <v>0</v>
      </c>
      <c r="I15" s="1354" t="s">
        <v>90</v>
      </c>
      <c r="J15" s="811">
        <f t="shared" si="2"/>
        <v>0</v>
      </c>
      <c r="K15" s="1354" t="s">
        <v>90</v>
      </c>
      <c r="L15" s="6" t="s">
        <v>90</v>
      </c>
      <c r="M15" s="6" t="s">
        <v>90</v>
      </c>
      <c r="N15" s="811">
        <f t="shared" si="1"/>
        <v>0</v>
      </c>
      <c r="O15" s="1354" t="s">
        <v>90</v>
      </c>
      <c r="P15" s="1354" t="s">
        <v>90</v>
      </c>
      <c r="Q15" s="1354" t="s">
        <v>90</v>
      </c>
      <c r="R15" s="6" t="s">
        <v>90</v>
      </c>
      <c r="S15" s="6" t="s">
        <v>90</v>
      </c>
      <c r="T15" s="1033" t="s">
        <v>90</v>
      </c>
      <c r="V15" s="699" t="s">
        <v>87</v>
      </c>
    </row>
    <row r="16" spans="1:25" x14ac:dyDescent="0.2">
      <c r="A16" s="314" t="s">
        <v>267</v>
      </c>
      <c r="B16" s="945">
        <v>8</v>
      </c>
      <c r="C16" s="257">
        <f>SUM('ICS.Balance sheet'!C122)</f>
        <v>0</v>
      </c>
      <c r="D16" s="6" t="s">
        <v>90</v>
      </c>
      <c r="E16" s="6" t="s">
        <v>90</v>
      </c>
      <c r="F16" s="6" t="s">
        <v>90</v>
      </c>
      <c r="G16" s="6" t="s">
        <v>90</v>
      </c>
      <c r="H16" s="811">
        <f t="shared" si="0"/>
        <v>0</v>
      </c>
      <c r="I16" s="1354" t="s">
        <v>90</v>
      </c>
      <c r="J16" s="811">
        <f t="shared" si="2"/>
        <v>0</v>
      </c>
      <c r="K16" s="1354" t="s">
        <v>90</v>
      </c>
      <c r="L16" s="6" t="s">
        <v>90</v>
      </c>
      <c r="M16" s="6" t="s">
        <v>90</v>
      </c>
      <c r="N16" s="811">
        <f t="shared" si="1"/>
        <v>0</v>
      </c>
      <c r="O16" s="1354" t="s">
        <v>90</v>
      </c>
      <c r="P16" s="1354" t="s">
        <v>90</v>
      </c>
      <c r="Q16" s="1354" t="s">
        <v>90</v>
      </c>
      <c r="R16" s="6" t="s">
        <v>90</v>
      </c>
      <c r="S16" s="6" t="s">
        <v>90</v>
      </c>
      <c r="T16" s="1033" t="s">
        <v>90</v>
      </c>
      <c r="V16" s="699" t="s">
        <v>87</v>
      </c>
    </row>
    <row r="17" spans="1:22" x14ac:dyDescent="0.2">
      <c r="A17" s="1154" t="s">
        <v>268</v>
      </c>
      <c r="B17" s="945">
        <v>9</v>
      </c>
      <c r="C17" s="257">
        <f>SUM('ICS.Balance sheet'!C123)</f>
        <v>0</v>
      </c>
      <c r="D17" s="258">
        <f>SUM(D18,D21:D23)</f>
        <v>0</v>
      </c>
      <c r="E17" s="258">
        <f t="shared" ref="E17:M17" si="3">SUM(E18,E21:E23)</f>
        <v>0</v>
      </c>
      <c r="F17" s="258">
        <f t="shared" si="3"/>
        <v>0</v>
      </c>
      <c r="G17" s="258">
        <f t="shared" si="3"/>
        <v>0</v>
      </c>
      <c r="H17" s="811">
        <f t="shared" si="0"/>
        <v>0</v>
      </c>
      <c r="I17" s="258">
        <f t="shared" si="3"/>
        <v>0</v>
      </c>
      <c r="J17" s="811">
        <f t="shared" si="2"/>
        <v>0</v>
      </c>
      <c r="K17" s="258">
        <f t="shared" si="3"/>
        <v>0</v>
      </c>
      <c r="L17" s="258">
        <f t="shared" si="3"/>
        <v>0</v>
      </c>
      <c r="M17" s="258">
        <f t="shared" si="3"/>
        <v>0</v>
      </c>
      <c r="N17" s="811">
        <f t="shared" si="1"/>
        <v>0</v>
      </c>
      <c r="O17" s="1352"/>
      <c r="P17" s="1353"/>
      <c r="Q17" s="258">
        <f t="shared" ref="Q17:T17" si="4">SUM(Q18,Q21:Q23)</f>
        <v>0</v>
      </c>
      <c r="R17" s="258">
        <f t="shared" si="4"/>
        <v>0</v>
      </c>
      <c r="S17" s="258">
        <f t="shared" si="4"/>
        <v>0</v>
      </c>
      <c r="T17" s="811">
        <f t="shared" si="4"/>
        <v>0</v>
      </c>
      <c r="V17" s="699" t="s">
        <v>87</v>
      </c>
    </row>
    <row r="18" spans="1:22" x14ac:dyDescent="0.2">
      <c r="A18" s="314" t="s">
        <v>269</v>
      </c>
      <c r="B18" s="945">
        <v>10</v>
      </c>
      <c r="C18" s="257">
        <f>SUM('ICS.Balance sheet'!C124)</f>
        <v>0</v>
      </c>
      <c r="D18" s="6" t="s">
        <v>90</v>
      </c>
      <c r="E18" s="6" t="s">
        <v>90</v>
      </c>
      <c r="F18" s="6" t="s">
        <v>90</v>
      </c>
      <c r="G18" s="6" t="s">
        <v>90</v>
      </c>
      <c r="H18" s="811">
        <f t="shared" si="0"/>
        <v>0</v>
      </c>
      <c r="I18" s="1354" t="s">
        <v>90</v>
      </c>
      <c r="J18" s="811">
        <f t="shared" si="2"/>
        <v>0</v>
      </c>
      <c r="K18" s="1354" t="s">
        <v>90</v>
      </c>
      <c r="L18" s="6" t="s">
        <v>90</v>
      </c>
      <c r="M18" s="6" t="s">
        <v>90</v>
      </c>
      <c r="N18" s="811">
        <f t="shared" si="1"/>
        <v>0</v>
      </c>
      <c r="O18" s="1354" t="s">
        <v>90</v>
      </c>
      <c r="P18" s="1354" t="s">
        <v>90</v>
      </c>
      <c r="Q18" s="1354" t="s">
        <v>90</v>
      </c>
      <c r="R18" s="6" t="s">
        <v>90</v>
      </c>
      <c r="S18" s="6" t="s">
        <v>90</v>
      </c>
      <c r="T18" s="1033" t="s">
        <v>90</v>
      </c>
      <c r="V18" s="699" t="s">
        <v>87</v>
      </c>
    </row>
    <row r="19" spans="1:22" x14ac:dyDescent="0.2">
      <c r="A19" s="1155" t="s">
        <v>270</v>
      </c>
      <c r="B19" s="945">
        <v>11</v>
      </c>
      <c r="C19" s="257">
        <f>SUM('ICS.Balance sheet'!C125)</f>
        <v>0</v>
      </c>
      <c r="D19" s="6" t="s">
        <v>90</v>
      </c>
      <c r="E19" s="6" t="s">
        <v>90</v>
      </c>
      <c r="F19" s="6" t="s">
        <v>90</v>
      </c>
      <c r="G19" s="6" t="s">
        <v>90</v>
      </c>
      <c r="H19" s="811">
        <f t="shared" si="0"/>
        <v>0</v>
      </c>
      <c r="I19" s="1354" t="s">
        <v>90</v>
      </c>
      <c r="J19" s="811">
        <f t="shared" si="2"/>
        <v>0</v>
      </c>
      <c r="K19" s="1354" t="s">
        <v>90</v>
      </c>
      <c r="L19" s="6" t="s">
        <v>90</v>
      </c>
      <c r="M19" s="6" t="s">
        <v>90</v>
      </c>
      <c r="N19" s="811">
        <f t="shared" si="1"/>
        <v>0</v>
      </c>
      <c r="O19" s="1354" t="s">
        <v>90</v>
      </c>
      <c r="P19" s="1354" t="s">
        <v>90</v>
      </c>
      <c r="Q19" s="1354" t="s">
        <v>90</v>
      </c>
      <c r="R19" s="6" t="s">
        <v>90</v>
      </c>
      <c r="S19" s="6" t="s">
        <v>90</v>
      </c>
      <c r="T19" s="1033" t="s">
        <v>90</v>
      </c>
      <c r="V19" s="699" t="s">
        <v>87</v>
      </c>
    </row>
    <row r="20" spans="1:22" x14ac:dyDescent="0.2">
      <c r="A20" s="1155" t="s">
        <v>271</v>
      </c>
      <c r="B20" s="945">
        <v>12</v>
      </c>
      <c r="C20" s="257">
        <f>SUM('ICS.Balance sheet'!C126)</f>
        <v>0</v>
      </c>
      <c r="D20" s="6" t="s">
        <v>90</v>
      </c>
      <c r="E20" s="6" t="s">
        <v>90</v>
      </c>
      <c r="F20" s="6" t="s">
        <v>90</v>
      </c>
      <c r="G20" s="6" t="s">
        <v>90</v>
      </c>
      <c r="H20" s="811">
        <f t="shared" si="0"/>
        <v>0</v>
      </c>
      <c r="I20" s="1354" t="s">
        <v>90</v>
      </c>
      <c r="J20" s="811">
        <f t="shared" si="2"/>
        <v>0</v>
      </c>
      <c r="K20" s="1354" t="s">
        <v>90</v>
      </c>
      <c r="L20" s="6" t="s">
        <v>90</v>
      </c>
      <c r="M20" s="6" t="s">
        <v>90</v>
      </c>
      <c r="N20" s="811">
        <f t="shared" si="1"/>
        <v>0</v>
      </c>
      <c r="O20" s="1354" t="s">
        <v>90</v>
      </c>
      <c r="P20" s="1354" t="s">
        <v>90</v>
      </c>
      <c r="Q20" s="1354" t="s">
        <v>90</v>
      </c>
      <c r="R20" s="6" t="s">
        <v>90</v>
      </c>
      <c r="S20" s="6" t="s">
        <v>90</v>
      </c>
      <c r="T20" s="1033" t="s">
        <v>90</v>
      </c>
      <c r="V20" s="699" t="s">
        <v>87</v>
      </c>
    </row>
    <row r="21" spans="1:22" x14ac:dyDescent="0.2">
      <c r="A21" s="314" t="s">
        <v>272</v>
      </c>
      <c r="B21" s="945">
        <v>13</v>
      </c>
      <c r="C21" s="257">
        <f>SUM('ICS.Balance sheet'!C127)</f>
        <v>0</v>
      </c>
      <c r="D21" s="6" t="s">
        <v>90</v>
      </c>
      <c r="E21" s="6" t="s">
        <v>90</v>
      </c>
      <c r="F21" s="6" t="s">
        <v>90</v>
      </c>
      <c r="G21" s="6" t="s">
        <v>90</v>
      </c>
      <c r="H21" s="811">
        <f t="shared" si="0"/>
        <v>0</v>
      </c>
      <c r="I21" s="1354" t="s">
        <v>90</v>
      </c>
      <c r="J21" s="811">
        <f t="shared" si="2"/>
        <v>0</v>
      </c>
      <c r="K21" s="1354" t="s">
        <v>90</v>
      </c>
      <c r="L21" s="6" t="s">
        <v>90</v>
      </c>
      <c r="M21" s="6" t="s">
        <v>90</v>
      </c>
      <c r="N21" s="811">
        <f t="shared" si="1"/>
        <v>0</v>
      </c>
      <c r="O21" s="1354" t="s">
        <v>90</v>
      </c>
      <c r="P21" s="1354" t="s">
        <v>90</v>
      </c>
      <c r="Q21" s="1354" t="s">
        <v>90</v>
      </c>
      <c r="R21" s="6" t="s">
        <v>90</v>
      </c>
      <c r="S21" s="6" t="s">
        <v>90</v>
      </c>
      <c r="T21" s="1033" t="s">
        <v>90</v>
      </c>
      <c r="V21" s="699" t="s">
        <v>87</v>
      </c>
    </row>
    <row r="22" spans="1:22" x14ac:dyDescent="0.2">
      <c r="A22" s="314" t="s">
        <v>273</v>
      </c>
      <c r="B22" s="945">
        <v>14</v>
      </c>
      <c r="C22" s="257">
        <f>SUM('ICS.Balance sheet'!C128)</f>
        <v>0</v>
      </c>
      <c r="D22" s="6" t="s">
        <v>90</v>
      </c>
      <c r="E22" s="6" t="s">
        <v>90</v>
      </c>
      <c r="F22" s="6" t="s">
        <v>90</v>
      </c>
      <c r="G22" s="6" t="s">
        <v>90</v>
      </c>
      <c r="H22" s="811">
        <f t="shared" si="0"/>
        <v>0</v>
      </c>
      <c r="I22" s="1354" t="s">
        <v>90</v>
      </c>
      <c r="J22" s="811">
        <f t="shared" si="2"/>
        <v>0</v>
      </c>
      <c r="K22" s="1354" t="s">
        <v>90</v>
      </c>
      <c r="L22" s="6" t="s">
        <v>90</v>
      </c>
      <c r="M22" s="6" t="s">
        <v>90</v>
      </c>
      <c r="N22" s="811">
        <f t="shared" si="1"/>
        <v>0</v>
      </c>
      <c r="O22" s="1354" t="s">
        <v>90</v>
      </c>
      <c r="P22" s="1354" t="s">
        <v>90</v>
      </c>
      <c r="Q22" s="1354" t="s">
        <v>90</v>
      </c>
      <c r="R22" s="6" t="s">
        <v>90</v>
      </c>
      <c r="S22" s="6" t="s">
        <v>90</v>
      </c>
      <c r="T22" s="1033" t="s">
        <v>90</v>
      </c>
      <c r="V22" s="699" t="s">
        <v>87</v>
      </c>
    </row>
    <row r="23" spans="1:22" x14ac:dyDescent="0.2">
      <c r="A23" s="314" t="s">
        <v>274</v>
      </c>
      <c r="B23" s="945">
        <v>15</v>
      </c>
      <c r="C23" s="257">
        <f>SUM('ICS.Balance sheet'!C129)</f>
        <v>0</v>
      </c>
      <c r="D23" s="6" t="s">
        <v>90</v>
      </c>
      <c r="E23" s="6" t="s">
        <v>90</v>
      </c>
      <c r="F23" s="6" t="s">
        <v>90</v>
      </c>
      <c r="G23" s="6" t="s">
        <v>90</v>
      </c>
      <c r="H23" s="811">
        <f t="shared" si="0"/>
        <v>0</v>
      </c>
      <c r="I23" s="1354" t="s">
        <v>90</v>
      </c>
      <c r="J23" s="811">
        <f t="shared" si="2"/>
        <v>0</v>
      </c>
      <c r="K23" s="1354" t="s">
        <v>90</v>
      </c>
      <c r="L23" s="6" t="s">
        <v>90</v>
      </c>
      <c r="M23" s="6" t="s">
        <v>90</v>
      </c>
      <c r="N23" s="811">
        <f t="shared" si="1"/>
        <v>0</v>
      </c>
      <c r="O23" s="1354" t="s">
        <v>90</v>
      </c>
      <c r="P23" s="1354" t="s">
        <v>90</v>
      </c>
      <c r="Q23" s="1354" t="s">
        <v>90</v>
      </c>
      <c r="R23" s="6" t="s">
        <v>90</v>
      </c>
      <c r="S23" s="6" t="s">
        <v>90</v>
      </c>
      <c r="T23" s="1033" t="s">
        <v>90</v>
      </c>
      <c r="V23" s="699" t="s">
        <v>87</v>
      </c>
    </row>
    <row r="24" spans="1:22" x14ac:dyDescent="0.2">
      <c r="A24" s="1154" t="s">
        <v>276</v>
      </c>
      <c r="B24" s="945">
        <v>16</v>
      </c>
      <c r="C24" s="257">
        <f>SUM('ICS.Balance sheet'!C131)</f>
        <v>0</v>
      </c>
      <c r="D24" s="1355"/>
      <c r="E24" s="258">
        <f>SUM(E25:E27)</f>
        <v>0</v>
      </c>
      <c r="F24" s="258">
        <f t="shared" ref="F24:M24" si="5">SUM(F25:F27)</f>
        <v>0</v>
      </c>
      <c r="G24" s="258">
        <f t="shared" si="5"/>
        <v>0</v>
      </c>
      <c r="H24" s="811">
        <f t="shared" si="0"/>
        <v>0</v>
      </c>
      <c r="I24" s="258">
        <f t="shared" si="5"/>
        <v>0</v>
      </c>
      <c r="J24" s="811">
        <f t="shared" si="2"/>
        <v>0</v>
      </c>
      <c r="K24" s="258">
        <f t="shared" si="5"/>
        <v>0</v>
      </c>
      <c r="L24" s="258">
        <f t="shared" si="5"/>
        <v>0</v>
      </c>
      <c r="M24" s="258">
        <f t="shared" si="5"/>
        <v>0</v>
      </c>
      <c r="N24" s="811">
        <f t="shared" si="1"/>
        <v>0</v>
      </c>
      <c r="O24" s="1352"/>
      <c r="P24" s="1353"/>
      <c r="Q24" s="1351">
        <f t="shared" ref="Q24:T24" si="6">SUM(Q25:Q27)</f>
        <v>0</v>
      </c>
      <c r="R24" s="258">
        <f t="shared" si="6"/>
        <v>0</v>
      </c>
      <c r="S24" s="258">
        <f t="shared" si="6"/>
        <v>0</v>
      </c>
      <c r="T24" s="811">
        <f t="shared" si="6"/>
        <v>0</v>
      </c>
      <c r="V24" s="699" t="s">
        <v>87</v>
      </c>
    </row>
    <row r="25" spans="1:22" x14ac:dyDescent="0.2">
      <c r="A25" s="314" t="s">
        <v>1551</v>
      </c>
      <c r="B25" s="945">
        <v>17</v>
      </c>
      <c r="C25" s="257">
        <f>SUM('ICS.Balance sheet'!C132)</f>
        <v>0</v>
      </c>
      <c r="D25" s="1355"/>
      <c r="E25" s="6" t="s">
        <v>90</v>
      </c>
      <c r="F25" s="6" t="s">
        <v>90</v>
      </c>
      <c r="G25" s="6" t="s">
        <v>90</v>
      </c>
      <c r="H25" s="811">
        <f t="shared" si="0"/>
        <v>0</v>
      </c>
      <c r="I25" s="1354" t="s">
        <v>90</v>
      </c>
      <c r="J25" s="811">
        <f t="shared" si="2"/>
        <v>0</v>
      </c>
      <c r="K25" s="1354" t="s">
        <v>90</v>
      </c>
      <c r="L25" s="6" t="s">
        <v>90</v>
      </c>
      <c r="M25" s="6" t="s">
        <v>90</v>
      </c>
      <c r="N25" s="811">
        <f t="shared" si="1"/>
        <v>0</v>
      </c>
      <c r="O25" s="1354" t="s">
        <v>90</v>
      </c>
      <c r="P25" s="1354" t="s">
        <v>90</v>
      </c>
      <c r="Q25" s="1354" t="s">
        <v>90</v>
      </c>
      <c r="R25" s="6" t="s">
        <v>90</v>
      </c>
      <c r="S25" s="6" t="s">
        <v>90</v>
      </c>
      <c r="T25" s="1033" t="s">
        <v>90</v>
      </c>
      <c r="V25" s="699" t="s">
        <v>87</v>
      </c>
    </row>
    <row r="26" spans="1:22" x14ac:dyDescent="0.2">
      <c r="A26" s="314" t="s">
        <v>608</v>
      </c>
      <c r="B26" s="945">
        <v>18</v>
      </c>
      <c r="C26" s="257">
        <f>SUM('ICS.Balance sheet'!C133)</f>
        <v>0</v>
      </c>
      <c r="D26" s="1355"/>
      <c r="E26" s="6" t="s">
        <v>90</v>
      </c>
      <c r="F26" s="6" t="s">
        <v>90</v>
      </c>
      <c r="G26" s="6" t="s">
        <v>90</v>
      </c>
      <c r="H26" s="811">
        <f t="shared" si="0"/>
        <v>0</v>
      </c>
      <c r="I26" s="1354" t="s">
        <v>90</v>
      </c>
      <c r="J26" s="811">
        <f t="shared" si="2"/>
        <v>0</v>
      </c>
      <c r="K26" s="1354" t="s">
        <v>90</v>
      </c>
      <c r="L26" s="6" t="s">
        <v>90</v>
      </c>
      <c r="M26" s="6" t="s">
        <v>90</v>
      </c>
      <c r="N26" s="811">
        <f t="shared" si="1"/>
        <v>0</v>
      </c>
      <c r="O26" s="1354" t="s">
        <v>90</v>
      </c>
      <c r="P26" s="1354" t="s">
        <v>90</v>
      </c>
      <c r="Q26" s="1354" t="s">
        <v>90</v>
      </c>
      <c r="R26" s="6" t="s">
        <v>90</v>
      </c>
      <c r="S26" s="6" t="s">
        <v>90</v>
      </c>
      <c r="T26" s="1033" t="s">
        <v>90</v>
      </c>
      <c r="V26" s="699" t="s">
        <v>87</v>
      </c>
    </row>
    <row r="27" spans="1:22" x14ac:dyDescent="0.2">
      <c r="A27" s="1356" t="s">
        <v>267</v>
      </c>
      <c r="B27" s="945">
        <v>19</v>
      </c>
      <c r="C27" s="257">
        <f>SUM('ICS.Balance sheet'!C134)</f>
        <v>0</v>
      </c>
      <c r="D27" s="1355"/>
      <c r="E27" s="6" t="s">
        <v>90</v>
      </c>
      <c r="F27" s="6" t="s">
        <v>90</v>
      </c>
      <c r="G27" s="6" t="s">
        <v>90</v>
      </c>
      <c r="H27" s="811">
        <f t="shared" si="0"/>
        <v>0</v>
      </c>
      <c r="I27" s="1354" t="s">
        <v>90</v>
      </c>
      <c r="J27" s="811">
        <f t="shared" si="2"/>
        <v>0</v>
      </c>
      <c r="K27" s="1354" t="s">
        <v>90</v>
      </c>
      <c r="L27" s="6" t="s">
        <v>90</v>
      </c>
      <c r="M27" s="6" t="s">
        <v>90</v>
      </c>
      <c r="N27" s="811">
        <f t="shared" si="1"/>
        <v>0</v>
      </c>
      <c r="O27" s="1354" t="s">
        <v>90</v>
      </c>
      <c r="P27" s="1354" t="s">
        <v>90</v>
      </c>
      <c r="Q27" s="1354" t="s">
        <v>90</v>
      </c>
      <c r="R27" s="6" t="s">
        <v>90</v>
      </c>
      <c r="S27" s="6" t="s">
        <v>90</v>
      </c>
      <c r="T27" s="1033" t="s">
        <v>90</v>
      </c>
      <c r="V27" s="699" t="s">
        <v>87</v>
      </c>
    </row>
    <row r="28" spans="1:22" x14ac:dyDescent="0.2">
      <c r="A28" s="1154" t="s">
        <v>288</v>
      </c>
      <c r="B28" s="945">
        <v>20</v>
      </c>
      <c r="C28" s="257">
        <f>SUM('ICS.Balance sheet'!C135)</f>
        <v>0</v>
      </c>
      <c r="D28" s="1355"/>
      <c r="E28" s="258">
        <f>SUM(E29:E31)</f>
        <v>0</v>
      </c>
      <c r="F28" s="258">
        <f t="shared" ref="F28:I28" si="7">SUM(F29:F31)</f>
        <v>0</v>
      </c>
      <c r="G28" s="258">
        <f t="shared" si="7"/>
        <v>0</v>
      </c>
      <c r="H28" s="811">
        <f t="shared" si="0"/>
        <v>0</v>
      </c>
      <c r="I28" s="1351">
        <f t="shared" si="7"/>
        <v>0</v>
      </c>
      <c r="J28" s="811">
        <f t="shared" si="2"/>
        <v>0</v>
      </c>
      <c r="K28" s="1351">
        <f t="shared" ref="K28:M28" si="8">SUM(K29:K31)</f>
        <v>0</v>
      </c>
      <c r="L28" s="258">
        <f t="shared" si="8"/>
        <v>0</v>
      </c>
      <c r="M28" s="258">
        <f t="shared" si="8"/>
        <v>0</v>
      </c>
      <c r="N28" s="811">
        <f t="shared" si="1"/>
        <v>0</v>
      </c>
      <c r="O28" s="1352"/>
      <c r="P28" s="1353"/>
      <c r="Q28" s="1351">
        <f t="shared" ref="Q28:T28" si="9">SUM(Q29:Q31)</f>
        <v>0</v>
      </c>
      <c r="R28" s="258">
        <f t="shared" si="9"/>
        <v>0</v>
      </c>
      <c r="S28" s="258">
        <f t="shared" si="9"/>
        <v>0</v>
      </c>
      <c r="T28" s="811">
        <f t="shared" si="9"/>
        <v>0</v>
      </c>
      <c r="V28" s="699" t="s">
        <v>87</v>
      </c>
    </row>
    <row r="29" spans="1:22" x14ac:dyDescent="0.2">
      <c r="A29" s="314" t="s">
        <v>204</v>
      </c>
      <c r="B29" s="945">
        <v>21</v>
      </c>
      <c r="C29" s="257">
        <f>SUM('ICS.Balance sheet'!C136)</f>
        <v>0</v>
      </c>
      <c r="D29" s="1355"/>
      <c r="E29" s="6" t="s">
        <v>90</v>
      </c>
      <c r="F29" s="6" t="s">
        <v>90</v>
      </c>
      <c r="G29" s="6" t="s">
        <v>90</v>
      </c>
      <c r="H29" s="811">
        <f t="shared" si="0"/>
        <v>0</v>
      </c>
      <c r="I29" s="1354" t="s">
        <v>90</v>
      </c>
      <c r="J29" s="811">
        <f t="shared" si="2"/>
        <v>0</v>
      </c>
      <c r="K29" s="1354" t="s">
        <v>90</v>
      </c>
      <c r="L29" s="6" t="s">
        <v>90</v>
      </c>
      <c r="M29" s="6" t="s">
        <v>90</v>
      </c>
      <c r="N29" s="811">
        <f t="shared" si="1"/>
        <v>0</v>
      </c>
      <c r="O29" s="1354" t="s">
        <v>90</v>
      </c>
      <c r="P29" s="1354" t="s">
        <v>90</v>
      </c>
      <c r="Q29" s="1354" t="s">
        <v>90</v>
      </c>
      <c r="R29" s="6" t="s">
        <v>90</v>
      </c>
      <c r="S29" s="6" t="s">
        <v>90</v>
      </c>
      <c r="T29" s="1033" t="s">
        <v>90</v>
      </c>
      <c r="V29" s="699" t="s">
        <v>87</v>
      </c>
    </row>
    <row r="30" spans="1:22" x14ac:dyDescent="0.2">
      <c r="A30" s="314" t="s">
        <v>289</v>
      </c>
      <c r="B30" s="945">
        <v>22</v>
      </c>
      <c r="C30" s="257">
        <f>SUM('ICS.Balance sheet'!C137)</f>
        <v>0</v>
      </c>
      <c r="D30" s="1355"/>
      <c r="E30" s="6" t="s">
        <v>90</v>
      </c>
      <c r="F30" s="6" t="s">
        <v>90</v>
      </c>
      <c r="G30" s="6" t="s">
        <v>90</v>
      </c>
      <c r="H30" s="811">
        <f t="shared" si="0"/>
        <v>0</v>
      </c>
      <c r="I30" s="1354" t="s">
        <v>90</v>
      </c>
      <c r="J30" s="811">
        <f t="shared" si="2"/>
        <v>0</v>
      </c>
      <c r="K30" s="1354" t="s">
        <v>90</v>
      </c>
      <c r="L30" s="6" t="s">
        <v>90</v>
      </c>
      <c r="M30" s="6" t="s">
        <v>90</v>
      </c>
      <c r="N30" s="811">
        <f t="shared" si="1"/>
        <v>0</v>
      </c>
      <c r="O30" s="1354" t="s">
        <v>90</v>
      </c>
      <c r="P30" s="1354" t="s">
        <v>90</v>
      </c>
      <c r="Q30" s="1354" t="s">
        <v>90</v>
      </c>
      <c r="R30" s="6" t="s">
        <v>90</v>
      </c>
      <c r="S30" s="6" t="s">
        <v>90</v>
      </c>
      <c r="T30" s="1033" t="s">
        <v>90</v>
      </c>
      <c r="V30" s="699" t="s">
        <v>87</v>
      </c>
    </row>
    <row r="31" spans="1:22" x14ac:dyDescent="0.2">
      <c r="A31" s="314" t="s">
        <v>290</v>
      </c>
      <c r="B31" s="945">
        <v>23</v>
      </c>
      <c r="C31" s="257">
        <f>SUM('ICS.Balance sheet'!C138)</f>
        <v>0</v>
      </c>
      <c r="D31" s="1355"/>
      <c r="E31" s="6" t="s">
        <v>90</v>
      </c>
      <c r="F31" s="6" t="s">
        <v>90</v>
      </c>
      <c r="G31" s="6" t="s">
        <v>90</v>
      </c>
      <c r="H31" s="811">
        <f t="shared" si="0"/>
        <v>0</v>
      </c>
      <c r="I31" s="1354" t="s">
        <v>90</v>
      </c>
      <c r="J31" s="811">
        <f t="shared" si="2"/>
        <v>0</v>
      </c>
      <c r="K31" s="1354" t="s">
        <v>90</v>
      </c>
      <c r="L31" s="6" t="s">
        <v>90</v>
      </c>
      <c r="M31" s="6" t="s">
        <v>90</v>
      </c>
      <c r="N31" s="811">
        <f t="shared" si="1"/>
        <v>0</v>
      </c>
      <c r="O31" s="1354" t="s">
        <v>90</v>
      </c>
      <c r="P31" s="1354" t="s">
        <v>90</v>
      </c>
      <c r="Q31" s="1354" t="s">
        <v>90</v>
      </c>
      <c r="R31" s="6" t="s">
        <v>90</v>
      </c>
      <c r="S31" s="6" t="s">
        <v>90</v>
      </c>
      <c r="T31" s="1033" t="s">
        <v>90</v>
      </c>
      <c r="V31" s="699" t="s">
        <v>87</v>
      </c>
    </row>
    <row r="32" spans="1:22" x14ac:dyDescent="0.2">
      <c r="A32" s="1357" t="s">
        <v>1552</v>
      </c>
      <c r="B32" s="989">
        <v>24</v>
      </c>
      <c r="C32" s="1358"/>
      <c r="D32" s="1359"/>
      <c r="E32" s="1359"/>
      <c r="F32" s="1359"/>
      <c r="G32" s="1359"/>
      <c r="H32" s="1360"/>
      <c r="I32" s="1358"/>
      <c r="J32" s="1360"/>
      <c r="K32" s="1358"/>
      <c r="L32" s="1359"/>
      <c r="M32" s="1359"/>
      <c r="N32" s="1360"/>
      <c r="O32" s="1358"/>
      <c r="P32" s="1360"/>
      <c r="Q32" s="1361" t="s">
        <v>90</v>
      </c>
      <c r="R32" s="1362" t="s">
        <v>90</v>
      </c>
      <c r="S32" s="1362" t="s">
        <v>90</v>
      </c>
      <c r="T32" s="1035" t="s">
        <v>90</v>
      </c>
      <c r="V32" s="699" t="s">
        <v>87</v>
      </c>
    </row>
    <row r="33" spans="1:22" x14ac:dyDescent="0.2">
      <c r="V33" s="699" t="s">
        <v>87</v>
      </c>
    </row>
    <row r="34" spans="1:22" ht="15" x14ac:dyDescent="0.2">
      <c r="A34" s="305" t="s">
        <v>1553</v>
      </c>
      <c r="B34" s="124">
        <v>153</v>
      </c>
      <c r="C34" s="105" t="s">
        <v>1379</v>
      </c>
      <c r="D34" s="105" t="s">
        <v>1531</v>
      </c>
      <c r="E34" s="105" t="s">
        <v>1532</v>
      </c>
      <c r="F34" s="105" t="s">
        <v>1533</v>
      </c>
      <c r="G34" s="105" t="s">
        <v>1534</v>
      </c>
      <c r="H34" s="105" t="s">
        <v>1535</v>
      </c>
      <c r="I34" s="105" t="s">
        <v>1536</v>
      </c>
      <c r="J34" s="105" t="s">
        <v>1537</v>
      </c>
      <c r="K34" s="105" t="s">
        <v>1538</v>
      </c>
      <c r="L34" s="105" t="s">
        <v>1539</v>
      </c>
      <c r="M34" s="105" t="s">
        <v>1540</v>
      </c>
      <c r="N34" s="105" t="s">
        <v>1541</v>
      </c>
      <c r="O34" s="105" t="s">
        <v>1542</v>
      </c>
      <c r="P34" s="105" t="s">
        <v>1543</v>
      </c>
      <c r="Q34" s="105"/>
      <c r="R34" s="105"/>
      <c r="S34" s="105"/>
      <c r="T34" s="106"/>
      <c r="V34" s="699" t="s">
        <v>87</v>
      </c>
    </row>
    <row r="35" spans="1:22" x14ac:dyDescent="0.2">
      <c r="A35" s="1350" t="str">
        <f t="shared" ref="A35:A42" si="10">A9</f>
        <v>Life Insurance - Traditional</v>
      </c>
      <c r="B35" s="234">
        <v>1</v>
      </c>
      <c r="C35" s="1363">
        <f>SUM(C36:C42)</f>
        <v>0</v>
      </c>
      <c r="D35" s="1364">
        <f>SUM(D36:D42)</f>
        <v>0</v>
      </c>
      <c r="E35" s="1364">
        <f>SUM(E36:E42)</f>
        <v>0</v>
      </c>
      <c r="F35" s="1364">
        <f>SUM(F36:F42)</f>
        <v>0</v>
      </c>
      <c r="G35" s="1364">
        <f>SUM(G36:G42)</f>
        <v>0</v>
      </c>
      <c r="H35" s="1364">
        <f t="shared" ref="H35:H57" si="11">SUM(C35,D35,E35,G35)-SUM(F35)</f>
        <v>0</v>
      </c>
      <c r="I35" s="1363">
        <f>SUM(I36:I42)</f>
        <v>0</v>
      </c>
      <c r="J35" s="1365">
        <f t="shared" ref="J35:J57" si="12">SUM(H35:I35)</f>
        <v>0</v>
      </c>
      <c r="K35" s="1364">
        <f>SUM(K36:K42)</f>
        <v>0</v>
      </c>
      <c r="L35" s="1364">
        <f>SUM(L36:L42)</f>
        <v>0</v>
      </c>
      <c r="M35" s="1364">
        <f>SUM(M36:M42)</f>
        <v>0</v>
      </c>
      <c r="N35" s="1364">
        <f t="shared" ref="N35:N57" si="13">SUM(J35:M35)</f>
        <v>0</v>
      </c>
      <c r="O35" s="1366"/>
      <c r="P35" s="1367"/>
      <c r="Q35" s="1366"/>
      <c r="R35" s="1367"/>
      <c r="S35" s="1367"/>
      <c r="T35" s="1368"/>
      <c r="V35" s="699" t="s">
        <v>87</v>
      </c>
    </row>
    <row r="36" spans="1:22" x14ac:dyDescent="0.2">
      <c r="A36" s="314" t="str">
        <f t="shared" si="10"/>
        <v>Protection - Life</v>
      </c>
      <c r="B36" s="234">
        <v>2</v>
      </c>
      <c r="C36" s="1354" t="s">
        <v>90</v>
      </c>
      <c r="D36" s="6" t="s">
        <v>90</v>
      </c>
      <c r="E36" s="6" t="s">
        <v>90</v>
      </c>
      <c r="F36" s="6" t="s">
        <v>90</v>
      </c>
      <c r="G36" s="6" t="s">
        <v>90</v>
      </c>
      <c r="H36" s="258">
        <f t="shared" si="11"/>
        <v>0</v>
      </c>
      <c r="I36" s="1354" t="s">
        <v>90</v>
      </c>
      <c r="J36" s="811">
        <f t="shared" si="12"/>
        <v>0</v>
      </c>
      <c r="K36" s="6" t="s">
        <v>90</v>
      </c>
      <c r="L36" s="6" t="s">
        <v>90</v>
      </c>
      <c r="M36" s="6" t="s">
        <v>90</v>
      </c>
      <c r="N36" s="258">
        <f t="shared" si="13"/>
        <v>0</v>
      </c>
      <c r="O36" s="1354" t="s">
        <v>90</v>
      </c>
      <c r="P36" s="1354" t="s">
        <v>90</v>
      </c>
      <c r="Q36" s="1352"/>
      <c r="R36" s="1355"/>
      <c r="S36" s="1355"/>
      <c r="T36" s="1353"/>
      <c r="V36" s="699" t="s">
        <v>87</v>
      </c>
    </row>
    <row r="37" spans="1:22" x14ac:dyDescent="0.2">
      <c r="A37" s="314" t="str">
        <f t="shared" si="10"/>
        <v>Protection - health</v>
      </c>
      <c r="B37" s="234">
        <v>3</v>
      </c>
      <c r="C37" s="1354" t="s">
        <v>90</v>
      </c>
      <c r="D37" s="6" t="s">
        <v>90</v>
      </c>
      <c r="E37" s="6" t="s">
        <v>90</v>
      </c>
      <c r="F37" s="6" t="s">
        <v>90</v>
      </c>
      <c r="G37" s="6" t="s">
        <v>90</v>
      </c>
      <c r="H37" s="258">
        <f t="shared" si="11"/>
        <v>0</v>
      </c>
      <c r="I37" s="1354" t="s">
        <v>90</v>
      </c>
      <c r="J37" s="811">
        <f t="shared" si="12"/>
        <v>0</v>
      </c>
      <c r="K37" s="6" t="s">
        <v>90</v>
      </c>
      <c r="L37" s="6" t="s">
        <v>90</v>
      </c>
      <c r="M37" s="6" t="s">
        <v>90</v>
      </c>
      <c r="N37" s="258">
        <f t="shared" si="13"/>
        <v>0</v>
      </c>
      <c r="O37" s="1354" t="s">
        <v>90</v>
      </c>
      <c r="P37" s="1354" t="s">
        <v>90</v>
      </c>
      <c r="Q37" s="1352"/>
      <c r="R37" s="1355"/>
      <c r="S37" s="1355"/>
      <c r="T37" s="1353"/>
      <c r="V37" s="699" t="s">
        <v>87</v>
      </c>
    </row>
    <row r="38" spans="1:22" x14ac:dyDescent="0.2">
      <c r="A38" s="314" t="str">
        <f t="shared" si="10"/>
        <v>Protection - other</v>
      </c>
      <c r="B38" s="234">
        <v>4</v>
      </c>
      <c r="C38" s="1354" t="s">
        <v>90</v>
      </c>
      <c r="D38" s="6" t="s">
        <v>90</v>
      </c>
      <c r="E38" s="6" t="s">
        <v>90</v>
      </c>
      <c r="F38" s="6" t="s">
        <v>90</v>
      </c>
      <c r="G38" s="6" t="s">
        <v>90</v>
      </c>
      <c r="H38" s="258">
        <f t="shared" si="11"/>
        <v>0</v>
      </c>
      <c r="I38" s="1354" t="s">
        <v>90</v>
      </c>
      <c r="J38" s="811">
        <f t="shared" si="12"/>
        <v>0</v>
      </c>
      <c r="K38" s="6" t="s">
        <v>90</v>
      </c>
      <c r="L38" s="6" t="s">
        <v>90</v>
      </c>
      <c r="M38" s="6" t="s">
        <v>90</v>
      </c>
      <c r="N38" s="258">
        <f t="shared" si="13"/>
        <v>0</v>
      </c>
      <c r="O38" s="1354" t="s">
        <v>90</v>
      </c>
      <c r="P38" s="1354" t="s">
        <v>90</v>
      </c>
      <c r="Q38" s="1352"/>
      <c r="R38" s="1355"/>
      <c r="S38" s="1355"/>
      <c r="T38" s="1353"/>
      <c r="V38" s="699" t="s">
        <v>87</v>
      </c>
    </row>
    <row r="39" spans="1:22" x14ac:dyDescent="0.2">
      <c r="A39" s="314" t="str">
        <f t="shared" si="10"/>
        <v>Savings without guarantees or living benefits</v>
      </c>
      <c r="B39" s="234">
        <v>5</v>
      </c>
      <c r="C39" s="1354" t="s">
        <v>90</v>
      </c>
      <c r="D39" s="6" t="s">
        <v>90</v>
      </c>
      <c r="E39" s="6" t="s">
        <v>90</v>
      </c>
      <c r="F39" s="6" t="s">
        <v>90</v>
      </c>
      <c r="G39" s="6" t="s">
        <v>90</v>
      </c>
      <c r="H39" s="258">
        <f t="shared" si="11"/>
        <v>0</v>
      </c>
      <c r="I39" s="1354" t="s">
        <v>90</v>
      </c>
      <c r="J39" s="811">
        <f t="shared" si="12"/>
        <v>0</v>
      </c>
      <c r="K39" s="6" t="s">
        <v>90</v>
      </c>
      <c r="L39" s="6" t="s">
        <v>90</v>
      </c>
      <c r="M39" s="6" t="s">
        <v>90</v>
      </c>
      <c r="N39" s="258">
        <f t="shared" si="13"/>
        <v>0</v>
      </c>
      <c r="O39" s="1354" t="s">
        <v>90</v>
      </c>
      <c r="P39" s="1354" t="s">
        <v>90</v>
      </c>
      <c r="Q39" s="1352"/>
      <c r="R39" s="1355"/>
      <c r="S39" s="1355"/>
      <c r="T39" s="1353"/>
      <c r="V39" s="699" t="s">
        <v>87</v>
      </c>
    </row>
    <row r="40" spans="1:22" x14ac:dyDescent="0.2">
      <c r="A40" s="314" t="str">
        <f t="shared" si="10"/>
        <v>Annuities</v>
      </c>
      <c r="B40" s="234">
        <v>6</v>
      </c>
      <c r="C40" s="1354" t="s">
        <v>90</v>
      </c>
      <c r="D40" s="6" t="s">
        <v>90</v>
      </c>
      <c r="E40" s="6" t="s">
        <v>90</v>
      </c>
      <c r="F40" s="6" t="s">
        <v>90</v>
      </c>
      <c r="G40" s="6" t="s">
        <v>90</v>
      </c>
      <c r="H40" s="258">
        <f t="shared" si="11"/>
        <v>0</v>
      </c>
      <c r="I40" s="1354" t="s">
        <v>90</v>
      </c>
      <c r="J40" s="811">
        <f t="shared" si="12"/>
        <v>0</v>
      </c>
      <c r="K40" s="6" t="s">
        <v>90</v>
      </c>
      <c r="L40" s="6" t="s">
        <v>90</v>
      </c>
      <c r="M40" s="6" t="s">
        <v>90</v>
      </c>
      <c r="N40" s="258">
        <f t="shared" si="13"/>
        <v>0</v>
      </c>
      <c r="O40" s="1354" t="s">
        <v>90</v>
      </c>
      <c r="P40" s="1354" t="s">
        <v>90</v>
      </c>
      <c r="Q40" s="1352"/>
      <c r="R40" s="1355"/>
      <c r="S40" s="1355"/>
      <c r="T40" s="1353"/>
      <c r="V40" s="699" t="s">
        <v>87</v>
      </c>
    </row>
    <row r="41" spans="1:22" x14ac:dyDescent="0.2">
      <c r="A41" s="314" t="str">
        <f t="shared" si="10"/>
        <v>Participating products</v>
      </c>
      <c r="B41" s="234">
        <v>7</v>
      </c>
      <c r="C41" s="1354" t="s">
        <v>90</v>
      </c>
      <c r="D41" s="6" t="s">
        <v>90</v>
      </c>
      <c r="E41" s="6" t="s">
        <v>90</v>
      </c>
      <c r="F41" s="6" t="s">
        <v>90</v>
      </c>
      <c r="G41" s="6" t="s">
        <v>90</v>
      </c>
      <c r="H41" s="258">
        <f t="shared" si="11"/>
        <v>0</v>
      </c>
      <c r="I41" s="1354" t="s">
        <v>90</v>
      </c>
      <c r="J41" s="811">
        <f t="shared" si="12"/>
        <v>0</v>
      </c>
      <c r="K41" s="6" t="s">
        <v>90</v>
      </c>
      <c r="L41" s="6" t="s">
        <v>90</v>
      </c>
      <c r="M41" s="6" t="s">
        <v>90</v>
      </c>
      <c r="N41" s="258">
        <f t="shared" si="13"/>
        <v>0</v>
      </c>
      <c r="O41" s="1354" t="s">
        <v>90</v>
      </c>
      <c r="P41" s="1354" t="s">
        <v>90</v>
      </c>
      <c r="Q41" s="1352"/>
      <c r="R41" s="1355"/>
      <c r="S41" s="1355"/>
      <c r="T41" s="1353"/>
      <c r="V41" s="699" t="s">
        <v>87</v>
      </c>
    </row>
    <row r="42" spans="1:22" x14ac:dyDescent="0.2">
      <c r="A42" s="314" t="str">
        <f t="shared" si="10"/>
        <v>Other traditional</v>
      </c>
      <c r="B42" s="234">
        <v>8</v>
      </c>
      <c r="C42" s="1354" t="s">
        <v>90</v>
      </c>
      <c r="D42" s="6" t="s">
        <v>90</v>
      </c>
      <c r="E42" s="6" t="s">
        <v>90</v>
      </c>
      <c r="F42" s="6" t="s">
        <v>90</v>
      </c>
      <c r="G42" s="6" t="s">
        <v>90</v>
      </c>
      <c r="H42" s="258">
        <f t="shared" si="11"/>
        <v>0</v>
      </c>
      <c r="I42" s="1354" t="s">
        <v>90</v>
      </c>
      <c r="J42" s="811">
        <f t="shared" si="12"/>
        <v>0</v>
      </c>
      <c r="K42" s="6" t="s">
        <v>90</v>
      </c>
      <c r="L42" s="6" t="s">
        <v>90</v>
      </c>
      <c r="M42" s="6" t="s">
        <v>90</v>
      </c>
      <c r="N42" s="258">
        <f t="shared" si="13"/>
        <v>0</v>
      </c>
      <c r="O42" s="1354" t="s">
        <v>90</v>
      </c>
      <c r="P42" s="1354" t="s">
        <v>90</v>
      </c>
      <c r="Q42" s="1352"/>
      <c r="R42" s="1355"/>
      <c r="S42" s="1355"/>
      <c r="T42" s="1353"/>
      <c r="V42" s="699" t="s">
        <v>87</v>
      </c>
    </row>
    <row r="43" spans="1:22" x14ac:dyDescent="0.2">
      <c r="A43" s="1154" t="s">
        <v>268</v>
      </c>
      <c r="B43" s="234">
        <v>9</v>
      </c>
      <c r="C43" s="1351">
        <f>SUM(C44,C47:C49)</f>
        <v>0</v>
      </c>
      <c r="D43" s="258">
        <f t="shared" ref="D43:I43" si="14">SUM(D44,D47:D49)</f>
        <v>0</v>
      </c>
      <c r="E43" s="258">
        <f t="shared" si="14"/>
        <v>0</v>
      </c>
      <c r="F43" s="258">
        <f t="shared" si="14"/>
        <v>0</v>
      </c>
      <c r="G43" s="258">
        <f t="shared" si="14"/>
        <v>0</v>
      </c>
      <c r="H43" s="258">
        <f t="shared" si="11"/>
        <v>0</v>
      </c>
      <c r="I43" s="1351">
        <f t="shared" si="14"/>
        <v>0</v>
      </c>
      <c r="J43" s="811">
        <f t="shared" si="12"/>
        <v>0</v>
      </c>
      <c r="K43" s="258">
        <f t="shared" ref="K43:M43" si="15">SUM(K44,K47:K49)</f>
        <v>0</v>
      </c>
      <c r="L43" s="258">
        <f t="shared" si="15"/>
        <v>0</v>
      </c>
      <c r="M43" s="258">
        <f t="shared" si="15"/>
        <v>0</v>
      </c>
      <c r="N43" s="258">
        <f t="shared" si="13"/>
        <v>0</v>
      </c>
      <c r="O43" s="1352"/>
      <c r="P43" s="1355"/>
      <c r="Q43" s="1352"/>
      <c r="R43" s="1355"/>
      <c r="S43" s="1355"/>
      <c r="T43" s="1353"/>
      <c r="V43" s="699" t="s">
        <v>87</v>
      </c>
    </row>
    <row r="44" spans="1:22" x14ac:dyDescent="0.2">
      <c r="A44" s="314" t="s">
        <v>269</v>
      </c>
      <c r="B44" s="234">
        <v>10</v>
      </c>
      <c r="C44" s="1354" t="s">
        <v>90</v>
      </c>
      <c r="D44" s="6" t="s">
        <v>90</v>
      </c>
      <c r="E44" s="6" t="s">
        <v>90</v>
      </c>
      <c r="F44" s="6" t="s">
        <v>90</v>
      </c>
      <c r="G44" s="6" t="s">
        <v>90</v>
      </c>
      <c r="H44" s="258">
        <f t="shared" si="11"/>
        <v>0</v>
      </c>
      <c r="I44" s="1354" t="s">
        <v>90</v>
      </c>
      <c r="J44" s="811">
        <f t="shared" si="12"/>
        <v>0</v>
      </c>
      <c r="K44" s="6" t="s">
        <v>90</v>
      </c>
      <c r="L44" s="6" t="s">
        <v>90</v>
      </c>
      <c r="M44" s="6" t="s">
        <v>90</v>
      </c>
      <c r="N44" s="258">
        <f t="shared" si="13"/>
        <v>0</v>
      </c>
      <c r="O44" s="1354" t="s">
        <v>90</v>
      </c>
      <c r="P44" s="1354" t="s">
        <v>90</v>
      </c>
      <c r="Q44" s="1352"/>
      <c r="R44" s="1355"/>
      <c r="S44" s="1355"/>
      <c r="T44" s="1353"/>
      <c r="V44" s="699" t="s">
        <v>87</v>
      </c>
    </row>
    <row r="45" spans="1:22" x14ac:dyDescent="0.2">
      <c r="A45" s="1155" t="s">
        <v>270</v>
      </c>
      <c r="B45" s="234">
        <v>11</v>
      </c>
      <c r="C45" s="1354" t="s">
        <v>90</v>
      </c>
      <c r="D45" s="6" t="s">
        <v>90</v>
      </c>
      <c r="E45" s="6" t="s">
        <v>90</v>
      </c>
      <c r="F45" s="6" t="s">
        <v>90</v>
      </c>
      <c r="G45" s="6" t="s">
        <v>90</v>
      </c>
      <c r="H45" s="258">
        <f t="shared" si="11"/>
        <v>0</v>
      </c>
      <c r="I45" s="1354" t="s">
        <v>90</v>
      </c>
      <c r="J45" s="811">
        <f t="shared" si="12"/>
        <v>0</v>
      </c>
      <c r="K45" s="6" t="s">
        <v>90</v>
      </c>
      <c r="L45" s="6" t="s">
        <v>90</v>
      </c>
      <c r="M45" s="6" t="s">
        <v>90</v>
      </c>
      <c r="N45" s="258">
        <f t="shared" si="13"/>
        <v>0</v>
      </c>
      <c r="O45" s="1354" t="s">
        <v>90</v>
      </c>
      <c r="P45" s="1354" t="s">
        <v>90</v>
      </c>
      <c r="Q45" s="1352"/>
      <c r="R45" s="1355"/>
      <c r="S45" s="1355"/>
      <c r="T45" s="1353"/>
      <c r="V45" s="699" t="s">
        <v>87</v>
      </c>
    </row>
    <row r="46" spans="1:22" x14ac:dyDescent="0.2">
      <c r="A46" s="1155" t="s">
        <v>271</v>
      </c>
      <c r="B46" s="234">
        <v>12</v>
      </c>
      <c r="C46" s="1354" t="s">
        <v>90</v>
      </c>
      <c r="D46" s="6" t="s">
        <v>90</v>
      </c>
      <c r="E46" s="6" t="s">
        <v>90</v>
      </c>
      <c r="F46" s="6" t="s">
        <v>90</v>
      </c>
      <c r="G46" s="6" t="s">
        <v>90</v>
      </c>
      <c r="H46" s="258">
        <f t="shared" si="11"/>
        <v>0</v>
      </c>
      <c r="I46" s="1354" t="s">
        <v>90</v>
      </c>
      <c r="J46" s="811">
        <f t="shared" si="12"/>
        <v>0</v>
      </c>
      <c r="K46" s="6" t="s">
        <v>90</v>
      </c>
      <c r="L46" s="6" t="s">
        <v>90</v>
      </c>
      <c r="M46" s="6" t="s">
        <v>90</v>
      </c>
      <c r="N46" s="258">
        <f t="shared" si="13"/>
        <v>0</v>
      </c>
      <c r="O46" s="1354" t="s">
        <v>90</v>
      </c>
      <c r="P46" s="1354" t="s">
        <v>90</v>
      </c>
      <c r="Q46" s="1352"/>
      <c r="R46" s="1355"/>
      <c r="S46" s="1355"/>
      <c r="T46" s="1353"/>
      <c r="V46" s="699" t="s">
        <v>87</v>
      </c>
    </row>
    <row r="47" spans="1:22" x14ac:dyDescent="0.2">
      <c r="A47" s="314" t="s">
        <v>272</v>
      </c>
      <c r="B47" s="234">
        <v>13</v>
      </c>
      <c r="C47" s="1354" t="s">
        <v>90</v>
      </c>
      <c r="D47" s="6" t="s">
        <v>90</v>
      </c>
      <c r="E47" s="6" t="s">
        <v>90</v>
      </c>
      <c r="F47" s="6" t="s">
        <v>90</v>
      </c>
      <c r="G47" s="6" t="s">
        <v>90</v>
      </c>
      <c r="H47" s="258">
        <f t="shared" si="11"/>
        <v>0</v>
      </c>
      <c r="I47" s="1354" t="s">
        <v>90</v>
      </c>
      <c r="J47" s="811">
        <f t="shared" si="12"/>
        <v>0</v>
      </c>
      <c r="K47" s="6" t="s">
        <v>90</v>
      </c>
      <c r="L47" s="6" t="s">
        <v>90</v>
      </c>
      <c r="M47" s="6" t="s">
        <v>90</v>
      </c>
      <c r="N47" s="258">
        <f t="shared" si="13"/>
        <v>0</v>
      </c>
      <c r="O47" s="1354" t="s">
        <v>90</v>
      </c>
      <c r="P47" s="1354" t="s">
        <v>90</v>
      </c>
      <c r="Q47" s="1352"/>
      <c r="R47" s="1355"/>
      <c r="S47" s="1355"/>
      <c r="T47" s="1353"/>
      <c r="V47" s="699" t="s">
        <v>87</v>
      </c>
    </row>
    <row r="48" spans="1:22" x14ac:dyDescent="0.2">
      <c r="A48" s="314" t="s">
        <v>273</v>
      </c>
      <c r="B48" s="234">
        <v>14</v>
      </c>
      <c r="C48" s="1354" t="s">
        <v>90</v>
      </c>
      <c r="D48" s="6" t="s">
        <v>90</v>
      </c>
      <c r="E48" s="6" t="s">
        <v>90</v>
      </c>
      <c r="F48" s="6" t="s">
        <v>90</v>
      </c>
      <c r="G48" s="6" t="s">
        <v>90</v>
      </c>
      <c r="H48" s="258">
        <f t="shared" si="11"/>
        <v>0</v>
      </c>
      <c r="I48" s="1354" t="s">
        <v>90</v>
      </c>
      <c r="J48" s="811">
        <f t="shared" si="12"/>
        <v>0</v>
      </c>
      <c r="K48" s="6" t="s">
        <v>90</v>
      </c>
      <c r="L48" s="6" t="s">
        <v>90</v>
      </c>
      <c r="M48" s="6" t="s">
        <v>90</v>
      </c>
      <c r="N48" s="258">
        <f t="shared" si="13"/>
        <v>0</v>
      </c>
      <c r="O48" s="1354" t="s">
        <v>90</v>
      </c>
      <c r="P48" s="1354" t="s">
        <v>90</v>
      </c>
      <c r="Q48" s="1352"/>
      <c r="R48" s="1355"/>
      <c r="S48" s="1355"/>
      <c r="T48" s="1353"/>
      <c r="V48" s="699" t="s">
        <v>87</v>
      </c>
    </row>
    <row r="49" spans="1:22" x14ac:dyDescent="0.2">
      <c r="A49" s="314" t="s">
        <v>274</v>
      </c>
      <c r="B49" s="234">
        <v>15</v>
      </c>
      <c r="C49" s="1354" t="s">
        <v>90</v>
      </c>
      <c r="D49" s="6" t="s">
        <v>90</v>
      </c>
      <c r="E49" s="6" t="s">
        <v>90</v>
      </c>
      <c r="F49" s="6" t="s">
        <v>90</v>
      </c>
      <c r="G49" s="6" t="s">
        <v>90</v>
      </c>
      <c r="H49" s="258">
        <f t="shared" si="11"/>
        <v>0</v>
      </c>
      <c r="I49" s="1354" t="s">
        <v>90</v>
      </c>
      <c r="J49" s="811">
        <f t="shared" si="12"/>
        <v>0</v>
      </c>
      <c r="K49" s="6" t="s">
        <v>90</v>
      </c>
      <c r="L49" s="6" t="s">
        <v>90</v>
      </c>
      <c r="M49" s="6" t="s">
        <v>90</v>
      </c>
      <c r="N49" s="258">
        <f t="shared" si="13"/>
        <v>0</v>
      </c>
      <c r="O49" s="1354" t="s">
        <v>90</v>
      </c>
      <c r="P49" s="1354" t="s">
        <v>90</v>
      </c>
      <c r="Q49" s="1352"/>
      <c r="R49" s="1355"/>
      <c r="S49" s="1355"/>
      <c r="T49" s="1353"/>
      <c r="V49" s="699" t="s">
        <v>87</v>
      </c>
    </row>
    <row r="50" spans="1:22" x14ac:dyDescent="0.2">
      <c r="A50" s="1154" t="s">
        <v>276</v>
      </c>
      <c r="B50" s="234">
        <v>16</v>
      </c>
      <c r="C50" s="1351">
        <f>SUM(C51:C53)</f>
        <v>0</v>
      </c>
      <c r="D50" s="1355"/>
      <c r="E50" s="258">
        <f t="shared" ref="E50:I50" si="16">SUM(E51:E53)</f>
        <v>0</v>
      </c>
      <c r="F50" s="258">
        <f t="shared" si="16"/>
        <v>0</v>
      </c>
      <c r="G50" s="258">
        <f t="shared" si="16"/>
        <v>0</v>
      </c>
      <c r="H50" s="258">
        <f t="shared" si="11"/>
        <v>0</v>
      </c>
      <c r="I50" s="1351">
        <f t="shared" si="16"/>
        <v>0</v>
      </c>
      <c r="J50" s="811">
        <f t="shared" si="12"/>
        <v>0</v>
      </c>
      <c r="K50" s="258">
        <f t="shared" ref="K50:M50" si="17">SUM(K51:K53)</f>
        <v>0</v>
      </c>
      <c r="L50" s="258">
        <f t="shared" si="17"/>
        <v>0</v>
      </c>
      <c r="M50" s="258">
        <f t="shared" si="17"/>
        <v>0</v>
      </c>
      <c r="N50" s="258">
        <f t="shared" si="13"/>
        <v>0</v>
      </c>
      <c r="O50" s="1352"/>
      <c r="P50" s="1355"/>
      <c r="Q50" s="1352"/>
      <c r="R50" s="1355"/>
      <c r="S50" s="1355"/>
      <c r="T50" s="1353"/>
      <c r="V50" s="699" t="s">
        <v>87</v>
      </c>
    </row>
    <row r="51" spans="1:22" x14ac:dyDescent="0.2">
      <c r="A51" s="314" t="s">
        <v>1551</v>
      </c>
      <c r="B51" s="234">
        <v>17</v>
      </c>
      <c r="C51" s="1354" t="s">
        <v>90</v>
      </c>
      <c r="D51" s="1355"/>
      <c r="E51" s="6" t="s">
        <v>90</v>
      </c>
      <c r="F51" s="6" t="s">
        <v>90</v>
      </c>
      <c r="G51" s="6" t="s">
        <v>90</v>
      </c>
      <c r="H51" s="258">
        <f t="shared" si="11"/>
        <v>0</v>
      </c>
      <c r="I51" s="1354" t="s">
        <v>90</v>
      </c>
      <c r="J51" s="811">
        <f t="shared" si="12"/>
        <v>0</v>
      </c>
      <c r="K51" s="6" t="s">
        <v>90</v>
      </c>
      <c r="L51" s="6" t="s">
        <v>90</v>
      </c>
      <c r="M51" s="6" t="s">
        <v>90</v>
      </c>
      <c r="N51" s="258">
        <f t="shared" si="13"/>
        <v>0</v>
      </c>
      <c r="O51" s="1354" t="s">
        <v>90</v>
      </c>
      <c r="P51" s="1354" t="s">
        <v>90</v>
      </c>
      <c r="Q51" s="1352"/>
      <c r="R51" s="1355"/>
      <c r="S51" s="1355"/>
      <c r="T51" s="1353"/>
      <c r="V51" s="699" t="s">
        <v>87</v>
      </c>
    </row>
    <row r="52" spans="1:22" x14ac:dyDescent="0.2">
      <c r="A52" s="314" t="s">
        <v>608</v>
      </c>
      <c r="B52" s="234">
        <v>18</v>
      </c>
      <c r="C52" s="1354" t="s">
        <v>90</v>
      </c>
      <c r="D52" s="1355"/>
      <c r="E52" s="6" t="s">
        <v>90</v>
      </c>
      <c r="F52" s="6" t="s">
        <v>90</v>
      </c>
      <c r="G52" s="6" t="s">
        <v>90</v>
      </c>
      <c r="H52" s="258">
        <f t="shared" si="11"/>
        <v>0</v>
      </c>
      <c r="I52" s="1354" t="s">
        <v>90</v>
      </c>
      <c r="J52" s="811">
        <f t="shared" si="12"/>
        <v>0</v>
      </c>
      <c r="K52" s="6" t="s">
        <v>90</v>
      </c>
      <c r="L52" s="6" t="s">
        <v>90</v>
      </c>
      <c r="M52" s="6" t="s">
        <v>90</v>
      </c>
      <c r="N52" s="258">
        <f t="shared" si="13"/>
        <v>0</v>
      </c>
      <c r="O52" s="1354" t="s">
        <v>90</v>
      </c>
      <c r="P52" s="1354" t="s">
        <v>90</v>
      </c>
      <c r="Q52" s="1352"/>
      <c r="R52" s="1355"/>
      <c r="S52" s="1355"/>
      <c r="T52" s="1353"/>
      <c r="V52" s="699" t="s">
        <v>87</v>
      </c>
    </row>
    <row r="53" spans="1:22" x14ac:dyDescent="0.2">
      <c r="A53" s="1356" t="s">
        <v>267</v>
      </c>
      <c r="B53" s="234">
        <v>19</v>
      </c>
      <c r="C53" s="1354" t="s">
        <v>90</v>
      </c>
      <c r="D53" s="1355"/>
      <c r="E53" s="6" t="s">
        <v>90</v>
      </c>
      <c r="F53" s="6" t="s">
        <v>90</v>
      </c>
      <c r="G53" s="6" t="s">
        <v>90</v>
      </c>
      <c r="H53" s="258">
        <f t="shared" si="11"/>
        <v>0</v>
      </c>
      <c r="I53" s="1354" t="s">
        <v>90</v>
      </c>
      <c r="J53" s="811">
        <f t="shared" si="12"/>
        <v>0</v>
      </c>
      <c r="K53" s="6" t="s">
        <v>90</v>
      </c>
      <c r="L53" s="6" t="s">
        <v>90</v>
      </c>
      <c r="M53" s="6" t="s">
        <v>90</v>
      </c>
      <c r="N53" s="258">
        <f t="shared" si="13"/>
        <v>0</v>
      </c>
      <c r="O53" s="1354" t="s">
        <v>90</v>
      </c>
      <c r="P53" s="1354" t="s">
        <v>90</v>
      </c>
      <c r="Q53" s="1352"/>
      <c r="R53" s="1355"/>
      <c r="S53" s="1355"/>
      <c r="T53" s="1353"/>
      <c r="V53" s="699" t="s">
        <v>87</v>
      </c>
    </row>
    <row r="54" spans="1:22" x14ac:dyDescent="0.2">
      <c r="A54" s="1154" t="s">
        <v>288</v>
      </c>
      <c r="B54" s="234">
        <v>20</v>
      </c>
      <c r="C54" s="1351">
        <f>SUM(C55:C57)</f>
        <v>0</v>
      </c>
      <c r="D54" s="1355"/>
      <c r="E54" s="258">
        <f t="shared" ref="E54:G54" si="18">SUM(E55:E57)</f>
        <v>0</v>
      </c>
      <c r="F54" s="258">
        <f t="shared" si="18"/>
        <v>0</v>
      </c>
      <c r="G54" s="258">
        <f t="shared" si="18"/>
        <v>0</v>
      </c>
      <c r="H54" s="258">
        <f t="shared" si="11"/>
        <v>0</v>
      </c>
      <c r="I54" s="1351">
        <f>SUM(I55:I57)</f>
        <v>0</v>
      </c>
      <c r="J54" s="811">
        <f t="shared" si="12"/>
        <v>0</v>
      </c>
      <c r="K54" s="258">
        <f>SUM(K55:K57)</f>
        <v>0</v>
      </c>
      <c r="L54" s="258">
        <f>SUM(L55:L57)</f>
        <v>0</v>
      </c>
      <c r="M54" s="258">
        <f>SUM(M55:M57)</f>
        <v>0</v>
      </c>
      <c r="N54" s="258">
        <f t="shared" si="13"/>
        <v>0</v>
      </c>
      <c r="O54" s="1352"/>
      <c r="P54" s="1355"/>
      <c r="Q54" s="1352"/>
      <c r="R54" s="1355"/>
      <c r="S54" s="1355"/>
      <c r="T54" s="1353"/>
      <c r="V54" s="699" t="s">
        <v>87</v>
      </c>
    </row>
    <row r="55" spans="1:22" x14ac:dyDescent="0.2">
      <c r="A55" s="314" t="s">
        <v>204</v>
      </c>
      <c r="B55" s="234">
        <v>21</v>
      </c>
      <c r="C55" s="1354" t="s">
        <v>90</v>
      </c>
      <c r="D55" s="1355"/>
      <c r="E55" s="6" t="s">
        <v>90</v>
      </c>
      <c r="F55" s="6" t="s">
        <v>90</v>
      </c>
      <c r="G55" s="6" t="s">
        <v>90</v>
      </c>
      <c r="H55" s="258">
        <f t="shared" si="11"/>
        <v>0</v>
      </c>
      <c r="I55" s="1354" t="s">
        <v>90</v>
      </c>
      <c r="J55" s="811">
        <f t="shared" si="12"/>
        <v>0</v>
      </c>
      <c r="K55" s="6" t="s">
        <v>90</v>
      </c>
      <c r="L55" s="6" t="s">
        <v>90</v>
      </c>
      <c r="M55" s="6" t="s">
        <v>90</v>
      </c>
      <c r="N55" s="258">
        <f t="shared" si="13"/>
        <v>0</v>
      </c>
      <c r="O55" s="1354" t="s">
        <v>90</v>
      </c>
      <c r="P55" s="1354" t="s">
        <v>90</v>
      </c>
      <c r="Q55" s="1352"/>
      <c r="R55" s="1355"/>
      <c r="S55" s="1355"/>
      <c r="T55" s="1353"/>
      <c r="V55" s="699" t="s">
        <v>87</v>
      </c>
    </row>
    <row r="56" spans="1:22" x14ac:dyDescent="0.2">
      <c r="A56" s="314" t="s">
        <v>289</v>
      </c>
      <c r="B56" s="234">
        <v>22</v>
      </c>
      <c r="C56" s="1354" t="s">
        <v>90</v>
      </c>
      <c r="D56" s="1355"/>
      <c r="E56" s="6" t="s">
        <v>90</v>
      </c>
      <c r="F56" s="6" t="s">
        <v>90</v>
      </c>
      <c r="G56" s="6" t="s">
        <v>90</v>
      </c>
      <c r="H56" s="258">
        <f t="shared" si="11"/>
        <v>0</v>
      </c>
      <c r="I56" s="1354" t="s">
        <v>90</v>
      </c>
      <c r="J56" s="811">
        <f t="shared" si="12"/>
        <v>0</v>
      </c>
      <c r="K56" s="6" t="s">
        <v>90</v>
      </c>
      <c r="L56" s="6" t="s">
        <v>90</v>
      </c>
      <c r="M56" s="6" t="s">
        <v>90</v>
      </c>
      <c r="N56" s="258">
        <f t="shared" si="13"/>
        <v>0</v>
      </c>
      <c r="O56" s="1354" t="s">
        <v>90</v>
      </c>
      <c r="P56" s="1354" t="s">
        <v>90</v>
      </c>
      <c r="Q56" s="1352"/>
      <c r="R56" s="1355"/>
      <c r="S56" s="1355"/>
      <c r="T56" s="1353"/>
      <c r="V56" s="699" t="s">
        <v>87</v>
      </c>
    </row>
    <row r="57" spans="1:22" ht="14.25" x14ac:dyDescent="0.2">
      <c r="A57" s="1187" t="s">
        <v>290</v>
      </c>
      <c r="B57" s="261">
        <v>23</v>
      </c>
      <c r="C57" s="1361" t="s">
        <v>90</v>
      </c>
      <c r="D57" s="1359"/>
      <c r="E57" s="1362" t="s">
        <v>90</v>
      </c>
      <c r="F57" s="1362" t="s">
        <v>90</v>
      </c>
      <c r="G57" s="1362" t="s">
        <v>90</v>
      </c>
      <c r="H57" s="1369">
        <f t="shared" si="11"/>
        <v>0</v>
      </c>
      <c r="I57" s="1361" t="s">
        <v>90</v>
      </c>
      <c r="J57" s="649">
        <f t="shared" si="12"/>
        <v>0</v>
      </c>
      <c r="K57" s="1362" t="s">
        <v>90</v>
      </c>
      <c r="L57" s="1362" t="s">
        <v>90</v>
      </c>
      <c r="M57" s="1362" t="s">
        <v>90</v>
      </c>
      <c r="N57" s="1369">
        <f t="shared" si="13"/>
        <v>0</v>
      </c>
      <c r="O57" s="1361" t="s">
        <v>90</v>
      </c>
      <c r="P57" s="1361" t="s">
        <v>90</v>
      </c>
      <c r="Q57" s="1358"/>
      <c r="R57" s="1359"/>
      <c r="S57" s="1359"/>
      <c r="T57" s="1360"/>
      <c r="V57" s="96" t="s">
        <v>87</v>
      </c>
    </row>
    <row r="58" spans="1:22" ht="14.25" x14ac:dyDescent="0.2">
      <c r="C58" s="929"/>
      <c r="D58" s="929"/>
      <c r="E58" s="929"/>
      <c r="F58" s="929"/>
      <c r="G58" s="929"/>
      <c r="H58" s="929"/>
      <c r="I58" s="929"/>
      <c r="J58" s="929"/>
      <c r="K58" s="929"/>
      <c r="L58" s="929"/>
      <c r="M58" s="929"/>
      <c r="N58" s="929"/>
      <c r="O58" s="929"/>
      <c r="P58" s="929"/>
      <c r="Q58" s="929"/>
      <c r="R58" s="929"/>
      <c r="S58" s="929"/>
      <c r="T58" s="929"/>
      <c r="U58" s="929"/>
      <c r="V58" s="96" t="s">
        <v>87</v>
      </c>
    </row>
    <row r="59" spans="1:22" x14ac:dyDescent="0.2">
      <c r="A59" s="699" t="s">
        <v>87</v>
      </c>
      <c r="B59" s="699" t="s">
        <v>87</v>
      </c>
      <c r="C59" s="699" t="s">
        <v>87</v>
      </c>
      <c r="D59" s="699" t="s">
        <v>87</v>
      </c>
      <c r="E59" s="699" t="s">
        <v>87</v>
      </c>
      <c r="F59" s="699" t="s">
        <v>87</v>
      </c>
      <c r="G59" s="699" t="s">
        <v>87</v>
      </c>
      <c r="H59" s="699" t="s">
        <v>87</v>
      </c>
      <c r="I59" s="699" t="s">
        <v>87</v>
      </c>
      <c r="J59" s="699" t="s">
        <v>87</v>
      </c>
      <c r="K59" s="699" t="s">
        <v>87</v>
      </c>
      <c r="L59" s="699" t="s">
        <v>87</v>
      </c>
      <c r="M59" s="699" t="s">
        <v>87</v>
      </c>
      <c r="N59" s="699" t="s">
        <v>87</v>
      </c>
      <c r="O59" s="699" t="s">
        <v>87</v>
      </c>
      <c r="P59" s="699" t="s">
        <v>87</v>
      </c>
      <c r="Q59" s="699" t="s">
        <v>87</v>
      </c>
      <c r="R59" s="699" t="s">
        <v>87</v>
      </c>
      <c r="S59" s="699" t="s">
        <v>87</v>
      </c>
      <c r="T59" s="699" t="s">
        <v>87</v>
      </c>
      <c r="U59" s="699" t="s">
        <v>87</v>
      </c>
      <c r="V59" s="699" t="s">
        <v>87</v>
      </c>
    </row>
  </sheetData>
  <mergeCells count="1">
    <mergeCell ref="O5:P5"/>
  </mergeCells>
  <dataValidations count="1">
    <dataValidation type="list" allowBlank="1" showInputMessage="1" showErrorMessage="1" sqref="O10:P16 O18:P23 O25:P27 O29:P31 O36:P42 O44:P49 O51:P53 O55:P57">
      <formula1>X$9:X$12</formula1>
    </dataValidation>
  </dataValidations>
  <printOptions horizontalCentered="1"/>
  <pageMargins left="0.11811023622047245" right="0.11811023622047245" top="0.15748031496062992" bottom="0.15748031496062992" header="0.31496062992125984" footer="0.31496062992125984"/>
  <pageSetup paperSize="9" scale="93" fitToWidth="3" fitToHeight="2"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249977111117893"/>
  </sheetPr>
  <dimension ref="A1:AQ306"/>
  <sheetViews>
    <sheetView workbookViewId="0">
      <selection activeCell="A6" sqref="A6"/>
    </sheetView>
  </sheetViews>
  <sheetFormatPr defaultRowHeight="12.75" x14ac:dyDescent="0.2"/>
  <cols>
    <col min="1" max="1" width="30.7109375" customWidth="1"/>
    <col min="2" max="2" width="4.140625" customWidth="1"/>
    <col min="3" max="3" width="9.42578125" customWidth="1"/>
    <col min="4" max="11" width="8.7109375" customWidth="1"/>
    <col min="12" max="14" width="5.7109375" customWidth="1"/>
    <col min="15" max="15" width="0.85546875" customWidth="1"/>
    <col min="16" max="16" width="2" customWidth="1"/>
    <col min="17" max="20" width="4" customWidth="1"/>
    <col min="21" max="21" width="7.28515625" customWidth="1"/>
    <col min="22" max="22" width="8.42578125" customWidth="1"/>
    <col min="23" max="23" width="8.28515625" customWidth="1"/>
    <col min="24" max="24" width="3.28515625" customWidth="1"/>
    <col min="25" max="25" width="4.5703125" customWidth="1"/>
    <col min="26" max="26" width="8.7109375" customWidth="1"/>
    <col min="27" max="27" width="8.85546875" customWidth="1"/>
    <col min="28" max="29" width="9.140625" customWidth="1"/>
    <col min="30" max="30" width="8.7109375" customWidth="1"/>
    <col min="31" max="31" width="10" customWidth="1"/>
    <col min="32" max="32" width="2.7109375" customWidth="1"/>
    <col min="33" max="33" width="8.28515625" customWidth="1"/>
    <col min="34" max="34" width="6.28515625" customWidth="1"/>
    <col min="35" max="35" width="3" customWidth="1"/>
    <col min="36" max="36" width="4.140625" customWidth="1"/>
    <col min="37" max="40" width="9.140625" customWidth="1"/>
    <col min="41" max="41" width="1.7109375" customWidth="1"/>
    <col min="42" max="42" width="2" customWidth="1"/>
  </cols>
  <sheetData>
    <row r="1" spans="1:43" x14ac:dyDescent="0.2">
      <c r="A1" s="93" t="str">
        <f>FT15.Participant!$A$1</f>
        <v>&lt;IAIG's Name&gt;</v>
      </c>
      <c r="B1" s="94"/>
      <c r="C1" s="94"/>
      <c r="D1" s="94"/>
      <c r="E1" s="94"/>
      <c r="F1" s="94"/>
      <c r="G1" s="94"/>
      <c r="H1" s="94"/>
      <c r="I1" s="94"/>
      <c r="J1" s="94"/>
      <c r="K1" s="94"/>
      <c r="L1" s="94"/>
      <c r="M1" s="94"/>
      <c r="N1" s="95" t="str">
        <f ca="1">HYPERLINK("#"&amp;CELL("address",FT15.IndexSheet),Version)</f>
        <v>2015 IAIS Field Testing Template</v>
      </c>
      <c r="P1" s="699" t="s">
        <v>87</v>
      </c>
      <c r="Y1" s="700"/>
      <c r="Z1" s="700"/>
      <c r="AA1" s="700"/>
      <c r="AP1" s="699" t="s">
        <v>87</v>
      </c>
    </row>
    <row r="2" spans="1:43" ht="15" x14ac:dyDescent="0.25">
      <c r="A2" s="97" t="str">
        <f>FT15.Participant!$A$2</f>
        <v>&lt;Currency&gt; - (&lt;Unit&gt;)</v>
      </c>
      <c r="B2" s="98" t="s">
        <v>703</v>
      </c>
      <c r="C2" s="99"/>
      <c r="D2" s="99"/>
      <c r="E2" s="99"/>
      <c r="F2" s="99"/>
      <c r="G2" s="99"/>
      <c r="H2" s="99"/>
      <c r="I2" s="99"/>
      <c r="J2" s="99"/>
      <c r="K2" s="99"/>
      <c r="L2" s="99"/>
      <c r="M2" s="99"/>
      <c r="N2" s="100" t="str">
        <f>FT15.Participant!$E$2</f>
        <v xml:space="preserve">&lt;Reporting Date&gt; - </v>
      </c>
      <c r="P2" s="699" t="s">
        <v>87</v>
      </c>
      <c r="Y2" s="700"/>
      <c r="Z2" s="700"/>
      <c r="AA2" s="700"/>
      <c r="AP2" s="699" t="s">
        <v>87</v>
      </c>
    </row>
    <row r="3" spans="1:43" ht="14.25" x14ac:dyDescent="0.2">
      <c r="P3" s="699" t="s">
        <v>87</v>
      </c>
      <c r="Y3" s="700"/>
      <c r="Z3" s="761"/>
      <c r="AA3" s="702"/>
      <c r="AC3" s="703"/>
      <c r="AD3" s="704"/>
      <c r="AE3" s="705"/>
      <c r="AP3" s="699" t="s">
        <v>87</v>
      </c>
    </row>
    <row r="4" spans="1:43" x14ac:dyDescent="0.2">
      <c r="I4" t="s">
        <v>704</v>
      </c>
      <c r="P4" s="699" t="s">
        <v>87</v>
      </c>
      <c r="AP4" s="699" t="s">
        <v>87</v>
      </c>
    </row>
    <row r="5" spans="1:43" ht="14.25" x14ac:dyDescent="0.2">
      <c r="A5" s="707"/>
      <c r="B5" s="708"/>
      <c r="C5" s="707"/>
      <c r="D5" s="94"/>
      <c r="E5" s="94"/>
      <c r="F5" s="101"/>
      <c r="G5" s="1452" t="s">
        <v>705</v>
      </c>
      <c r="H5" s="1421" t="s">
        <v>706</v>
      </c>
      <c r="I5" s="1421" t="s">
        <v>707</v>
      </c>
      <c r="P5" s="699" t="s">
        <v>87</v>
      </c>
      <c r="AP5" s="699" t="s">
        <v>87</v>
      </c>
    </row>
    <row r="6" spans="1:43" ht="14.25" x14ac:dyDescent="0.2">
      <c r="A6" s="280" t="s">
        <v>1554</v>
      </c>
      <c r="B6" s="709"/>
      <c r="C6" s="710" t="s">
        <v>709</v>
      </c>
      <c r="D6" s="710" t="s">
        <v>710</v>
      </c>
      <c r="E6" s="710" t="s">
        <v>350</v>
      </c>
      <c r="F6" s="710" t="s">
        <v>711</v>
      </c>
      <c r="G6" s="1453"/>
      <c r="H6" s="1423"/>
      <c r="I6" s="1423"/>
      <c r="P6" s="699" t="s">
        <v>87</v>
      </c>
      <c r="U6" s="711" t="s">
        <v>712</v>
      </c>
      <c r="V6" s="712"/>
      <c r="W6" s="713"/>
      <c r="Y6" s="714" t="s">
        <v>90</v>
      </c>
      <c r="Z6" s="714" t="s">
        <v>713</v>
      </c>
      <c r="AA6" s="715"/>
      <c r="AB6" s="715"/>
      <c r="AC6" s="715"/>
      <c r="AD6" s="715"/>
      <c r="AE6" s="718" t="s">
        <v>714</v>
      </c>
      <c r="AG6" s="717" t="s">
        <v>715</v>
      </c>
      <c r="AH6" s="677"/>
      <c r="AJ6" s="714" t="s">
        <v>90</v>
      </c>
      <c r="AK6" s="714" t="s">
        <v>716</v>
      </c>
      <c r="AL6" s="715"/>
      <c r="AM6" s="715"/>
      <c r="AN6" s="718" t="s">
        <v>717</v>
      </c>
      <c r="AO6" s="706"/>
      <c r="AP6" s="699" t="s">
        <v>87</v>
      </c>
      <c r="AQ6" s="719"/>
    </row>
    <row r="7" spans="1:43" ht="14.25" x14ac:dyDescent="0.2">
      <c r="A7" s="720"/>
      <c r="B7" s="104">
        <v>154</v>
      </c>
      <c r="C7" s="167">
        <v>1</v>
      </c>
      <c r="D7" s="167">
        <v>2</v>
      </c>
      <c r="E7" s="167">
        <v>3</v>
      </c>
      <c r="F7" s="167">
        <v>4</v>
      </c>
      <c r="G7" s="167">
        <v>5</v>
      </c>
      <c r="H7" s="167">
        <v>6</v>
      </c>
      <c r="I7" s="214">
        <v>7</v>
      </c>
      <c r="P7" s="699" t="s">
        <v>87</v>
      </c>
      <c r="U7" s="721" t="s">
        <v>718</v>
      </c>
      <c r="V7" s="722" t="s">
        <v>719</v>
      </c>
      <c r="W7" s="722" t="s">
        <v>720</v>
      </c>
      <c r="Y7" s="723" t="s">
        <v>90</v>
      </c>
      <c r="Z7" s="724" t="s">
        <v>721</v>
      </c>
      <c r="AA7" s="725" t="s">
        <v>722</v>
      </c>
      <c r="AB7" s="725" t="s">
        <v>723</v>
      </c>
      <c r="AC7" s="725" t="s">
        <v>724</v>
      </c>
      <c r="AD7" s="725" t="s">
        <v>725</v>
      </c>
      <c r="AE7" s="726" t="s">
        <v>726</v>
      </c>
      <c r="AG7" s="727" t="s">
        <v>727</v>
      </c>
      <c r="AH7" s="728"/>
      <c r="AJ7" s="723" t="s">
        <v>90</v>
      </c>
      <c r="AK7" s="724" t="s">
        <v>709</v>
      </c>
      <c r="AL7" s="725" t="s">
        <v>710</v>
      </c>
      <c r="AM7" s="725" t="s">
        <v>350</v>
      </c>
      <c r="AN7" s="725" t="s">
        <v>711</v>
      </c>
      <c r="AO7" s="706"/>
      <c r="AP7" s="699" t="s">
        <v>87</v>
      </c>
      <c r="AQ7" s="719"/>
    </row>
    <row r="8" spans="1:43" x14ac:dyDescent="0.2">
      <c r="A8" s="93" t="s">
        <v>728</v>
      </c>
      <c r="B8" s="234">
        <v>1</v>
      </c>
      <c r="C8" s="224"/>
      <c r="D8" s="225"/>
      <c r="E8" s="225"/>
      <c r="F8" s="225"/>
      <c r="G8" s="172">
        <f>SQRT(SUMPRODUCT(-G9:G14,MMULT(--ICS.NL.Corr.Areas,-G9:G14)))</f>
        <v>0</v>
      </c>
      <c r="H8" s="172">
        <f>SUM(H9:H14)</f>
        <v>0</v>
      </c>
      <c r="I8" s="172">
        <f>SUM(I9:I14)</f>
        <v>0</v>
      </c>
      <c r="J8" s="729" t="s">
        <v>695</v>
      </c>
      <c r="K8" s="730"/>
      <c r="L8" s="730"/>
      <c r="M8" s="730"/>
      <c r="N8" s="731"/>
      <c r="P8" s="699" t="s">
        <v>87</v>
      </c>
      <c r="U8" s="732">
        <v>1</v>
      </c>
      <c r="V8" s="645">
        <v>0.15</v>
      </c>
      <c r="W8" s="645">
        <v>0.1</v>
      </c>
      <c r="Y8" s="104"/>
      <c r="Z8" s="733">
        <v>1</v>
      </c>
      <c r="AA8" s="733">
        <v>2</v>
      </c>
      <c r="AB8" s="733">
        <v>3</v>
      </c>
      <c r="AC8" s="733">
        <v>4</v>
      </c>
      <c r="AD8" s="733">
        <v>5</v>
      </c>
      <c r="AE8" s="734">
        <v>6</v>
      </c>
      <c r="AG8" s="714"/>
      <c r="AH8" s="718" t="s">
        <v>729</v>
      </c>
      <c r="AJ8" s="104"/>
      <c r="AK8" s="736">
        <v>1</v>
      </c>
      <c r="AL8" s="736">
        <v>2</v>
      </c>
      <c r="AM8" s="736">
        <v>3</v>
      </c>
      <c r="AN8" s="737">
        <v>4</v>
      </c>
      <c r="AO8" s="706"/>
      <c r="AP8" s="699" t="s">
        <v>87</v>
      </c>
      <c r="AQ8" s="719"/>
    </row>
    <row r="9" spans="1:43" ht="14.25" x14ac:dyDescent="0.2">
      <c r="A9" s="738" t="s">
        <v>721</v>
      </c>
      <c r="B9" s="234">
        <v>2</v>
      </c>
      <c r="C9" s="282">
        <f>SUMIF($K$20:$K$35,C$6,$C$20:$C$35)</f>
        <v>0</v>
      </c>
      <c r="D9" s="282">
        <f>SUMIF($K$20:$K$35,D$6,$C$20:$C$35)</f>
        <v>0</v>
      </c>
      <c r="E9" s="282">
        <f>SUMIF($K$20:$K$35,E$6,$C$20:$C$35)</f>
        <v>0</v>
      </c>
      <c r="F9" s="282">
        <f>SUMIF($K$20:$K$35,F$6,$C$20:$C$35)</f>
        <v>0</v>
      </c>
      <c r="G9" s="739">
        <f t="shared" ref="G9:G14" si="0">SQRT(SUMPRODUCT(MMULT(-C9:F9,--ICS.NL.Corr.Categ),-C9:F9))</f>
        <v>0</v>
      </c>
      <c r="H9" s="282">
        <f>SUMIF($K$20:$K$35,H$5,$C$20:$C$35)</f>
        <v>0</v>
      </c>
      <c r="I9" s="740">
        <f>SUMIF($K$20:$K$35,I$5,$C$20:$C$35)</f>
        <v>0</v>
      </c>
      <c r="J9" s="1370" t="str">
        <f ca="1">HYPERLINK("#"&amp;CELL("address",A18),"EEA")</f>
        <v>EEA</v>
      </c>
      <c r="K9" s="225"/>
      <c r="L9" s="225"/>
      <c r="M9" s="225"/>
      <c r="N9" s="742"/>
      <c r="P9" s="699" t="s">
        <v>87</v>
      </c>
      <c r="U9" s="743">
        <v>2</v>
      </c>
      <c r="V9" s="744">
        <v>0.25</v>
      </c>
      <c r="W9" s="744">
        <v>0.2</v>
      </c>
      <c r="Y9" s="745">
        <v>1</v>
      </c>
      <c r="Z9" s="682">
        <v>1</v>
      </c>
      <c r="AA9" s="683">
        <v>0.25</v>
      </c>
      <c r="AB9" s="683">
        <v>0.25</v>
      </c>
      <c r="AC9" s="683">
        <v>0.25</v>
      </c>
      <c r="AD9" s="683">
        <v>0.25</v>
      </c>
      <c r="AE9" s="684">
        <v>0.25</v>
      </c>
      <c r="AG9" s="746" t="s">
        <v>709</v>
      </c>
      <c r="AH9" s="747">
        <v>0.25</v>
      </c>
      <c r="AJ9" s="745">
        <v>1</v>
      </c>
      <c r="AK9" s="682">
        <v>1</v>
      </c>
      <c r="AL9" s="683">
        <v>0.5</v>
      </c>
      <c r="AM9" s="683">
        <v>0.5</v>
      </c>
      <c r="AN9" s="684">
        <v>0.5</v>
      </c>
      <c r="AO9" s="795"/>
      <c r="AP9" s="699" t="s">
        <v>87</v>
      </c>
      <c r="AQ9" s="719"/>
    </row>
    <row r="10" spans="1:43" ht="14.25" x14ac:dyDescent="0.2">
      <c r="A10" s="738" t="s">
        <v>722</v>
      </c>
      <c r="B10" s="234">
        <v>3</v>
      </c>
      <c r="C10" s="285">
        <f>SUMIF($K$40:$K$60,C$6,$C$40:$C$60)+SUMIF($K$65:$K$85,C$6,$C$65:$C$85)</f>
        <v>0</v>
      </c>
      <c r="D10" s="285">
        <f>SUMIF($K$40:$K$60,D$6,$C$40:$C$60)+SUMIF($K$65:$K$85,D$6,$C$65:$C$85)</f>
        <v>0</v>
      </c>
      <c r="E10" s="285">
        <f>SUMIF($K$40:$K$60,E$6,$C$40:$C$60)+SUMIF($K$65:$K$85,E$6,$C$65:$C$85)</f>
        <v>0</v>
      </c>
      <c r="F10" s="285">
        <f>SUMIF($K$40:$K$60,F$6,$C$40:$C$60)+SUMIF($K$65:$K$85,F$6,$C$65:$C$85)</f>
        <v>0</v>
      </c>
      <c r="G10" s="739">
        <f t="shared" si="0"/>
        <v>0</v>
      </c>
      <c r="H10" s="285">
        <f>SUMIF($K$40:$K$60,H$5,$C$40:$C$60)+SUMIF($K$65:$K$85,H$5,$C$65:$C$85)</f>
        <v>0</v>
      </c>
      <c r="I10" s="748">
        <f>SUMIF($K$40:$K$60,I$5,$C$40:$C$60)+SUMIF($K$65:$K$85,I$5,$C$65:$C$85)</f>
        <v>0</v>
      </c>
      <c r="J10" s="1371" t="str">
        <f ca="1">HYPERLINK("#"&amp;CELL("address",A38),"CA")</f>
        <v>CA</v>
      </c>
      <c r="K10" s="1372" t="str">
        <f ca="1">HYPERLINK("#"&amp;CELL("address",A63),"US")</f>
        <v>US</v>
      </c>
      <c r="L10" s="230"/>
      <c r="M10" s="230"/>
      <c r="N10" s="111"/>
      <c r="P10" s="699" t="s">
        <v>87</v>
      </c>
      <c r="U10" s="743">
        <v>3</v>
      </c>
      <c r="V10" s="744">
        <v>0.3</v>
      </c>
      <c r="W10" s="744">
        <v>0.25</v>
      </c>
      <c r="Y10" s="745">
        <v>2</v>
      </c>
      <c r="Z10" s="686">
        <f>INDEX(Z9:AE14,Z8,Y10)</f>
        <v>0.25</v>
      </c>
      <c r="AA10" s="687">
        <v>1</v>
      </c>
      <c r="AB10" s="688">
        <v>0.25</v>
      </c>
      <c r="AC10" s="688">
        <v>0.25</v>
      </c>
      <c r="AD10" s="688">
        <v>0.25</v>
      </c>
      <c r="AE10" s="689">
        <v>0.25</v>
      </c>
      <c r="AG10" s="751" t="s">
        <v>710</v>
      </c>
      <c r="AH10" s="752">
        <v>0.75</v>
      </c>
      <c r="AJ10" s="745">
        <v>2</v>
      </c>
      <c r="AK10" s="686">
        <f>INDEX(AK9:AN12,AK8,AJ10)</f>
        <v>0.5</v>
      </c>
      <c r="AL10" s="687">
        <v>1</v>
      </c>
      <c r="AM10" s="688">
        <v>0.5</v>
      </c>
      <c r="AN10" s="689">
        <v>0.5</v>
      </c>
      <c r="AO10" s="795"/>
      <c r="AP10" s="699" t="s">
        <v>87</v>
      </c>
      <c r="AQ10" s="719"/>
    </row>
    <row r="11" spans="1:43" ht="14.25" x14ac:dyDescent="0.2">
      <c r="A11" s="738" t="s">
        <v>723</v>
      </c>
      <c r="B11" s="234">
        <v>4</v>
      </c>
      <c r="C11" s="285">
        <f>SUMIF($K$90:$K$105,C$6,$C$90:$C$105)</f>
        <v>0</v>
      </c>
      <c r="D11" s="285">
        <f>SUMIF($K$90:$K$105,D$6,$C$90:$C$105)</f>
        <v>0</v>
      </c>
      <c r="E11" s="285">
        <f>SUMIF($K$90:$K$105,E$6,$C$90:$C$105)</f>
        <v>0</v>
      </c>
      <c r="F11" s="285">
        <f>SUMIF($K$90:$K$105,F$6,$C$90:$C$105)</f>
        <v>0</v>
      </c>
      <c r="G11" s="739">
        <f t="shared" si="0"/>
        <v>0</v>
      </c>
      <c r="H11" s="285">
        <f>SUMIF($K$90:$K$105,H$5,$C$90:$C$105)</f>
        <v>0</v>
      </c>
      <c r="I11" s="748">
        <f>SUMIF($K$90:$K$105,I$5,$C$90:$C$105)</f>
        <v>0</v>
      </c>
      <c r="J11" s="1371" t="str">
        <f ca="1">HYPERLINK("#"&amp;CELL("address",A88),"JP")</f>
        <v>JP</v>
      </c>
      <c r="K11" s="230"/>
      <c r="L11" s="230"/>
      <c r="M11" s="230"/>
      <c r="N11" s="111"/>
      <c r="P11" s="699" t="s">
        <v>87</v>
      </c>
      <c r="U11" s="743">
        <v>4</v>
      </c>
      <c r="V11" s="744">
        <v>0.35</v>
      </c>
      <c r="W11" s="744">
        <v>0.3</v>
      </c>
      <c r="Y11" s="745">
        <v>3</v>
      </c>
      <c r="Z11" s="686">
        <f>INDEX(Z9:AE14,Z8,Y11)</f>
        <v>0.25</v>
      </c>
      <c r="AA11" s="687">
        <f>INDEX(Z9:AE14,AA8,Y11)</f>
        <v>0.25</v>
      </c>
      <c r="AB11" s="687">
        <v>1</v>
      </c>
      <c r="AC11" s="688">
        <v>0.25</v>
      </c>
      <c r="AD11" s="688">
        <v>0.25</v>
      </c>
      <c r="AE11" s="689">
        <v>0.25</v>
      </c>
      <c r="AG11" s="751" t="s">
        <v>350</v>
      </c>
      <c r="AH11" s="752">
        <v>0.5</v>
      </c>
      <c r="AJ11" s="745">
        <v>3</v>
      </c>
      <c r="AK11" s="686">
        <f>INDEX(AK9:AN12,AK8,AJ11)</f>
        <v>0.5</v>
      </c>
      <c r="AL11" s="687">
        <f>INDEX(AK9:AN12,AL8,AJ11)</f>
        <v>0.5</v>
      </c>
      <c r="AM11" s="687">
        <v>1</v>
      </c>
      <c r="AN11" s="689">
        <v>0.5</v>
      </c>
      <c r="AO11" s="795"/>
      <c r="AP11" s="699" t="s">
        <v>87</v>
      </c>
      <c r="AQ11" s="719"/>
    </row>
    <row r="12" spans="1:43" ht="14.25" x14ac:dyDescent="0.2">
      <c r="A12" s="738" t="s">
        <v>724</v>
      </c>
      <c r="B12" s="234">
        <v>5</v>
      </c>
      <c r="C12" s="285">
        <f>SUMIF($K$110:$K$119,C$6,$C$110:$C$119)</f>
        <v>0</v>
      </c>
      <c r="D12" s="285">
        <f>SUMIF($K$110:$K$119,D$6,$C$110:$C$119)</f>
        <v>0</v>
      </c>
      <c r="E12" s="285">
        <f>SUMIF($K$110:$K$119,E$6,$C$110:$C$119)</f>
        <v>0</v>
      </c>
      <c r="F12" s="285">
        <f>SUMIF($K$110:$K$119,F$6,$C$110:$C$119)</f>
        <v>0</v>
      </c>
      <c r="G12" s="739">
        <f t="shared" si="0"/>
        <v>0</v>
      </c>
      <c r="H12" s="285">
        <f>SUMIF($K$110:$K$119,H$5,$C$110:$C$119)</f>
        <v>0</v>
      </c>
      <c r="I12" s="748">
        <f>SUMIF($K$110:$K$119,I$5,$C$110:$C$119)</f>
        <v>0</v>
      </c>
      <c r="J12" s="1371" t="str">
        <f ca="1">HYPERLINK("#"&amp;CELL("address",A108),"CN")</f>
        <v>CN</v>
      </c>
      <c r="K12" s="230"/>
      <c r="L12" s="230"/>
      <c r="M12" s="230"/>
      <c r="N12" s="111"/>
      <c r="P12" s="699" t="s">
        <v>87</v>
      </c>
      <c r="U12" s="743">
        <v>5</v>
      </c>
      <c r="V12" s="744">
        <v>0.45</v>
      </c>
      <c r="W12" s="744">
        <v>0.35</v>
      </c>
      <c r="Y12" s="745">
        <v>4</v>
      </c>
      <c r="Z12" s="686">
        <f>INDEX(Z9:AE14,Z8,Y12)</f>
        <v>0.25</v>
      </c>
      <c r="AA12" s="687">
        <f>INDEX(Z9:AE14,AA8,Y12)</f>
        <v>0.25</v>
      </c>
      <c r="AB12" s="687">
        <f>INDEX(Z9:AE14,AB8,Y12)</f>
        <v>0.25</v>
      </c>
      <c r="AC12" s="687">
        <v>1</v>
      </c>
      <c r="AD12" s="688">
        <v>0.25</v>
      </c>
      <c r="AE12" s="689">
        <v>0.25</v>
      </c>
      <c r="AG12" s="751" t="s">
        <v>711</v>
      </c>
      <c r="AH12" s="752">
        <v>0.5</v>
      </c>
      <c r="AJ12" s="753">
        <v>4</v>
      </c>
      <c r="AK12" s="694">
        <f>INDEX(AK9:AN12,AK8,AJ12)</f>
        <v>0.5</v>
      </c>
      <c r="AL12" s="695">
        <f>INDEX(AK9:AN12,AL8,AJ12)</f>
        <v>0.5</v>
      </c>
      <c r="AM12" s="695">
        <f>INDEX(AK9:AN12,AM8,AJ12)</f>
        <v>0.5</v>
      </c>
      <c r="AN12" s="696">
        <v>1</v>
      </c>
      <c r="AO12" s="795"/>
      <c r="AP12" s="699" t="s">
        <v>87</v>
      </c>
      <c r="AQ12" s="719"/>
    </row>
    <row r="13" spans="1:43" ht="14.25" x14ac:dyDescent="0.2">
      <c r="A13" s="738" t="s">
        <v>725</v>
      </c>
      <c r="B13" s="234">
        <v>6</v>
      </c>
      <c r="C13" s="285">
        <f>SUMIF($K$124:$K$171,C$6,$C$124:$C$171)+SUMIF($K$176:$K$185,C$6,$C$176:$C$185)+SUMIF($K$190:$K$202,C$6,$C$190:$C$202)+SUMIF($K$207:$K$221,C$6,$C$207:$C$221)+SUMIF($K$226:$K$252,C$6,$C$226:$C$252)+SUMIF($K$257:$K$278,C$6,$C$257:$C$278)</f>
        <v>0</v>
      </c>
      <c r="D13" s="285">
        <f>SUMIF($K$124:$K$171,D$6,$C$124:$C$171)+SUMIF($K$176:$K$185,D$6,$C$176:$C$185)+SUMIF($K$190:$K$202,D$6,$C$190:$C$202)+SUMIF($K$207:$K$221,D$6,$C$207:$C$221)+SUMIF($K$226:$K$252,D$6,$C$226:$C$252)+SUMIF($K$257:$K$278,D$6,$C$257:$C$278)</f>
        <v>0</v>
      </c>
      <c r="E13" s="285">
        <f>SUMIF($K$124:$K$171,E$6,$C$124:$C$171)+SUMIF($K$176:$K$185,E$6,$C$176:$C$185)+SUMIF($K$190:$K$202,E$6,$C$190:$C$202)+SUMIF($K$207:$K$221,E$6,$C$207:$C$221)+SUMIF($K$226:$K$252,E$6,$C$226:$C$252)+SUMIF($K$257:$K$278,E$6,$C$257:$C$278)</f>
        <v>0</v>
      </c>
      <c r="F13" s="285">
        <f>SUMIF($K$124:$K$171,F$6,$C$124:$C$171)+SUMIF($K$176:$K$185,F$6,$C$176:$C$185)+SUMIF($K$190:$K$202,F$6,$C$190:$C$202)+SUMIF($K$207:$K$221,F$6,$C$207:$C$221)+SUMIF($K$226:$K$252,F$6,$C$226:$C$252)+SUMIF($K$257:$K$278,F$6,$C$257:$C$278)</f>
        <v>0</v>
      </c>
      <c r="G13" s="739">
        <f t="shared" si="0"/>
        <v>0</v>
      </c>
      <c r="H13" s="285">
        <f>SUMIF($K$124:$K$171,H$5,$C$124:$C$171)+SUMIF($K$176:$K$185,H$5,$C$176:$C$185)+SUMIF($K$190:$K$202,H$5,$C$190:$C$202)+SUMIF($K$207:$K$221,H$5,$C$207:$C$221)+SUMIF($K$226:$K$252,H$5,$C$226:$C$252)+SUMIF($K$257:$K$278,H$5,$C$257:$C$278)</f>
        <v>0</v>
      </c>
      <c r="I13" s="285">
        <f>SUMIF($K$124:$K$171,I$5,$C$124:$C$171)+SUMIF($K$176:$K$185,I$5,$C$176:$C$185)+SUMIF($K$190:$K$202,I$5,$C$190:$C$202)+SUMIF($K$207:$K$221,I$5,$C$207:$C$221)+SUMIF($K$226:$K$252,I$5,$C$226:$C$252)+SUMIF($K$257:$K$278,I$5,$C$257:$C$278)</f>
        <v>0</v>
      </c>
      <c r="J13" s="1371" t="str">
        <f ca="1">HYPERLINK("#"&amp;CELL("address",A122),"AU &amp; NZ")</f>
        <v>AU &amp; NZ</v>
      </c>
      <c r="K13" s="1372" t="str">
        <f ca="1">HYPERLINK("#"&amp;CELL("address",A174),"HK")</f>
        <v>HK</v>
      </c>
      <c r="L13" s="1372" t="str">
        <f ca="1">HYPERLINK("#"&amp;CELL("address",A188),"KR")</f>
        <v>KR</v>
      </c>
      <c r="M13" s="1372" t="str">
        <f ca="1">HYPERLINK("#"&amp;CELL("address",A205),"SG")</f>
        <v>SG</v>
      </c>
      <c r="N13" s="1373" t="str">
        <f ca="1">HYPERLINK("#"&amp;CELL("address",A224),"TW")</f>
        <v>TW</v>
      </c>
      <c r="P13" s="699" t="s">
        <v>87</v>
      </c>
      <c r="U13" s="743">
        <v>6</v>
      </c>
      <c r="V13" s="744">
        <v>0.5</v>
      </c>
      <c r="W13" s="744">
        <v>0.4</v>
      </c>
      <c r="Y13" s="745">
        <v>5</v>
      </c>
      <c r="Z13" s="686">
        <f>INDEX(Z9:AE14,Z8,Y13)</f>
        <v>0.25</v>
      </c>
      <c r="AA13" s="687">
        <f>INDEX(Z9:AE14,AA8,Y13)</f>
        <v>0.25</v>
      </c>
      <c r="AB13" s="687">
        <f>INDEX(Z9:AE14,AB8,Y13)</f>
        <v>0.25</v>
      </c>
      <c r="AC13" s="687">
        <f>INDEX(AA9:AE13,AC8,Y13)</f>
        <v>0.25</v>
      </c>
      <c r="AD13" s="687">
        <v>1</v>
      </c>
      <c r="AE13" s="689">
        <v>0.25</v>
      </c>
      <c r="AG13" s="751" t="s">
        <v>706</v>
      </c>
      <c r="AH13" s="752">
        <v>0.75</v>
      </c>
      <c r="AO13" s="702"/>
      <c r="AP13" s="699" t="s">
        <v>87</v>
      </c>
      <c r="AQ13" s="719"/>
    </row>
    <row r="14" spans="1:43" ht="14.25" x14ac:dyDescent="0.2">
      <c r="A14" s="755" t="s">
        <v>726</v>
      </c>
      <c r="B14" s="261">
        <v>7</v>
      </c>
      <c r="C14" s="153">
        <f>SUMIF($K$283:$K$304,C$6,$C$283:$C$304)</f>
        <v>0</v>
      </c>
      <c r="D14" s="153">
        <f>SUMIF($K$283:$K$304,D$6,$C$283:$C$304)</f>
        <v>0</v>
      </c>
      <c r="E14" s="153">
        <f>SUMIF($K$283:$K$304,E$6,$C$283:$C$304)</f>
        <v>0</v>
      </c>
      <c r="F14" s="153">
        <f>SUMIF($K$283:$K$304,F$6,$C$283:$C$304)</f>
        <v>0</v>
      </c>
      <c r="G14" s="756">
        <f t="shared" si="0"/>
        <v>0</v>
      </c>
      <c r="H14" s="153">
        <f>SUMIF($K$283:$K$304,H$5,$C$283:$C$304)</f>
        <v>0</v>
      </c>
      <c r="I14" s="757">
        <f>SUMIF($K$283:$K$304,I$5,$C$283:$C$304)</f>
        <v>0</v>
      </c>
      <c r="J14" s="1374" t="str">
        <f ca="1">HYPERLINK("#"&amp;CELL("address",A281),"+")</f>
        <v>+</v>
      </c>
      <c r="K14" s="323"/>
      <c r="L14" s="323"/>
      <c r="M14" s="323"/>
      <c r="N14" s="151"/>
      <c r="P14" s="699" t="s">
        <v>87</v>
      </c>
      <c r="U14" s="743">
        <v>7</v>
      </c>
      <c r="V14" s="744">
        <v>0.55000000000000004</v>
      </c>
      <c r="W14" s="744">
        <v>0.45</v>
      </c>
      <c r="Y14" s="753">
        <v>6</v>
      </c>
      <c r="Z14" s="694">
        <f>INDEX(Z9:AE14,Z8,Y14)</f>
        <v>0.25</v>
      </c>
      <c r="AA14" s="695">
        <f>INDEX(Z9:AE14,AA8,Y14)</f>
        <v>0.25</v>
      </c>
      <c r="AB14" s="695">
        <f>INDEX(Z9:AE14,AB8,Y14)</f>
        <v>0.25</v>
      </c>
      <c r="AC14" s="695">
        <f>INDEX(Z9:AE14,AC8,Y14)</f>
        <v>0.25</v>
      </c>
      <c r="AD14" s="695">
        <f>INDEX(Z9:AE14,AD8,Y14)</f>
        <v>0.25</v>
      </c>
      <c r="AE14" s="696">
        <v>1</v>
      </c>
      <c r="AG14" s="759" t="s">
        <v>707</v>
      </c>
      <c r="AH14" s="760">
        <v>0.75</v>
      </c>
      <c r="AJ14" s="700"/>
      <c r="AK14" s="761"/>
      <c r="AL14" s="761"/>
      <c r="AM14" s="761"/>
      <c r="AN14" s="761"/>
      <c r="AO14" s="761"/>
      <c r="AP14" s="699" t="s">
        <v>87</v>
      </c>
      <c r="AQ14" s="719"/>
    </row>
    <row r="15" spans="1:43" x14ac:dyDescent="0.2">
      <c r="P15" s="699" t="s">
        <v>87</v>
      </c>
      <c r="U15" s="762">
        <v>8</v>
      </c>
      <c r="V15" s="646">
        <v>0.7</v>
      </c>
      <c r="W15" s="646">
        <v>0.5</v>
      </c>
      <c r="AJ15" s="719"/>
      <c r="AK15" s="719"/>
      <c r="AL15" s="719"/>
      <c r="AM15" s="719"/>
      <c r="AN15" s="719"/>
      <c r="AO15" s="719"/>
      <c r="AP15" s="699" t="s">
        <v>87</v>
      </c>
      <c r="AQ15" s="719"/>
    </row>
    <row r="16" spans="1:43" x14ac:dyDescent="0.2">
      <c r="G16" s="148"/>
      <c r="H16" s="148"/>
      <c r="P16" s="699" t="s">
        <v>87</v>
      </c>
      <c r="AP16" s="699" t="s">
        <v>87</v>
      </c>
    </row>
    <row r="17" spans="1:42" ht="14.25" customHeight="1" x14ac:dyDescent="0.2">
      <c r="A17" s="763" t="s">
        <v>730</v>
      </c>
      <c r="B17" s="764"/>
      <c r="C17" s="765" t="s">
        <v>731</v>
      </c>
      <c r="D17" s="766" t="s">
        <v>732</v>
      </c>
      <c r="E17" s="767"/>
      <c r="F17" s="767"/>
      <c r="G17" s="768"/>
      <c r="H17" s="769" t="s">
        <v>733</v>
      </c>
      <c r="I17" s="770"/>
      <c r="J17" s="770"/>
      <c r="K17" s="771" t="s">
        <v>33</v>
      </c>
      <c r="L17" s="772" t="s">
        <v>734</v>
      </c>
      <c r="M17" s="770"/>
      <c r="N17" s="770"/>
      <c r="P17" s="699" t="s">
        <v>87</v>
      </c>
      <c r="R17" s="773" t="s">
        <v>735</v>
      </c>
      <c r="S17" s="770"/>
      <c r="AP17" s="699" t="s">
        <v>87</v>
      </c>
    </row>
    <row r="18" spans="1:42" ht="15" customHeight="1" x14ac:dyDescent="0.25">
      <c r="A18" s="774" t="s">
        <v>721</v>
      </c>
      <c r="B18" s="775"/>
      <c r="C18" s="776" t="s">
        <v>736</v>
      </c>
      <c r="D18" s="777" t="s">
        <v>173</v>
      </c>
      <c r="E18" s="777" t="s">
        <v>737</v>
      </c>
      <c r="F18" s="777" t="s">
        <v>738</v>
      </c>
      <c r="G18" s="777" t="s">
        <v>739</v>
      </c>
      <c r="H18" s="777" t="s">
        <v>737</v>
      </c>
      <c r="I18" s="777" t="s">
        <v>738</v>
      </c>
      <c r="J18" s="777" t="s">
        <v>740</v>
      </c>
      <c r="K18" s="778" t="s">
        <v>8</v>
      </c>
      <c r="L18" s="779" t="s">
        <v>741</v>
      </c>
      <c r="M18" s="779" t="s">
        <v>742</v>
      </c>
      <c r="N18" s="780" t="s">
        <v>743</v>
      </c>
      <c r="P18" s="699" t="s">
        <v>87</v>
      </c>
      <c r="R18" s="777" t="s">
        <v>744</v>
      </c>
      <c r="S18" s="777" t="s">
        <v>745</v>
      </c>
      <c r="AP18" s="699" t="s">
        <v>87</v>
      </c>
    </row>
    <row r="19" spans="1:42" ht="14.25" x14ac:dyDescent="0.2">
      <c r="A19" s="662"/>
      <c r="B19" s="104">
        <v>155</v>
      </c>
      <c r="C19" s="167" t="s">
        <v>746</v>
      </c>
      <c r="D19" s="167" t="s">
        <v>747</v>
      </c>
      <c r="E19" s="167">
        <v>3</v>
      </c>
      <c r="F19" s="167">
        <v>4</v>
      </c>
      <c r="G19" s="167">
        <v>5</v>
      </c>
      <c r="H19" s="167">
        <v>6</v>
      </c>
      <c r="I19" s="167">
        <v>7</v>
      </c>
      <c r="J19" s="167">
        <v>8</v>
      </c>
      <c r="K19" s="167"/>
      <c r="L19" s="167"/>
      <c r="M19" s="167"/>
      <c r="N19" s="214"/>
      <c r="P19" s="699" t="s">
        <v>87</v>
      </c>
      <c r="R19" s="781"/>
      <c r="S19" s="106"/>
      <c r="AP19" s="699" t="s">
        <v>87</v>
      </c>
    </row>
    <row r="20" spans="1:42" x14ac:dyDescent="0.2">
      <c r="A20" s="641" t="s">
        <v>748</v>
      </c>
      <c r="B20" s="169">
        <v>1</v>
      </c>
      <c r="C20" s="282" t="str">
        <f t="shared" ref="C20:C35" si="1">IF(OR(D20&lt;&gt;"-",I20&lt;&gt;"-"),SQRT(PRODUCT(L20,SUM(D20))^2+PRODUCT(M20,SUM(I20))^2+2*PRODUCT(N20,L20,SUM(D20),M20,SUM(I20))),"-")</f>
        <v>-</v>
      </c>
      <c r="D20" s="782" t="str">
        <f t="shared" ref="D20:D35" si="2">IF(OR(F20&lt;&gt;"-",G20&lt;&gt;"-"),MAX(SUM(F20),SUM(G20)),"-")</f>
        <v>-</v>
      </c>
      <c r="E20" s="149" t="str">
        <f>'ICS.Non-Life type risk'!E20</f>
        <v>-</v>
      </c>
      <c r="F20" s="797" t="s">
        <v>90</v>
      </c>
      <c r="G20" s="149" t="str">
        <f>'ICS.Non-Life type risk'!G20</f>
        <v>-</v>
      </c>
      <c r="H20" s="149" t="s">
        <v>90</v>
      </c>
      <c r="I20" s="149" t="s">
        <v>90</v>
      </c>
      <c r="J20" s="149" t="s">
        <v>90</v>
      </c>
      <c r="K20" s="783" t="s">
        <v>350</v>
      </c>
      <c r="L20" s="784">
        <f t="shared" ref="L20:L35" si="3">IFERROR(INDEX(ICS.NL.Buckets.P,R20),"-")</f>
        <v>0.15</v>
      </c>
      <c r="M20" s="784">
        <f t="shared" ref="M20:M35" si="4">IFERROR(INDEX(ICS.NL.Buckets.R,S20),"-")</f>
        <v>0.1</v>
      </c>
      <c r="N20" s="645">
        <f t="shared" ref="N20:N35" si="5">IFERROR(INDEX(ICS.NL.Corr.P_R,MATCH(K20,ICS.NL.CategMapping,0)),1)</f>
        <v>0.5</v>
      </c>
      <c r="P20" s="699" t="s">
        <v>87</v>
      </c>
      <c r="R20" s="785">
        <v>1</v>
      </c>
      <c r="S20" s="785">
        <v>1</v>
      </c>
      <c r="AD20" s="1375"/>
      <c r="AP20" s="699" t="s">
        <v>87</v>
      </c>
    </row>
    <row r="21" spans="1:42" x14ac:dyDescent="0.2">
      <c r="A21" s="641" t="s">
        <v>750</v>
      </c>
      <c r="B21" s="169">
        <v>2</v>
      </c>
      <c r="C21" s="285" t="str">
        <f t="shared" si="1"/>
        <v>-</v>
      </c>
      <c r="D21" s="739" t="str">
        <f t="shared" si="2"/>
        <v>-</v>
      </c>
      <c r="E21" s="137" t="str">
        <f>'ICS.Non-Life type risk'!E21</f>
        <v>-</v>
      </c>
      <c r="F21" s="794" t="s">
        <v>90</v>
      </c>
      <c r="G21" s="137" t="str">
        <f>'ICS.Non-Life type risk'!G21</f>
        <v>-</v>
      </c>
      <c r="H21" s="137" t="s">
        <v>90</v>
      </c>
      <c r="I21" s="137" t="s">
        <v>90</v>
      </c>
      <c r="J21" s="137" t="s">
        <v>90</v>
      </c>
      <c r="K21" s="786" t="s">
        <v>350</v>
      </c>
      <c r="L21" s="787">
        <f t="shared" si="3"/>
        <v>0.25</v>
      </c>
      <c r="M21" s="788">
        <f t="shared" si="4"/>
        <v>0.35</v>
      </c>
      <c r="N21" s="788">
        <f t="shared" si="5"/>
        <v>0.5</v>
      </c>
      <c r="P21" s="699" t="s">
        <v>87</v>
      </c>
      <c r="R21" s="785">
        <v>2</v>
      </c>
      <c r="S21" s="743">
        <v>5</v>
      </c>
      <c r="AP21" s="699" t="s">
        <v>87</v>
      </c>
    </row>
    <row r="22" spans="1:42" x14ac:dyDescent="0.2">
      <c r="A22" s="641" t="s">
        <v>752</v>
      </c>
      <c r="B22" s="169">
        <v>3</v>
      </c>
      <c r="C22" s="285" t="str">
        <f t="shared" si="1"/>
        <v>-</v>
      </c>
      <c r="D22" s="739" t="str">
        <f t="shared" si="2"/>
        <v>-</v>
      </c>
      <c r="E22" s="137" t="str">
        <f>'ICS.Non-Life type risk'!E22</f>
        <v>-</v>
      </c>
      <c r="F22" s="794" t="s">
        <v>90</v>
      </c>
      <c r="G22" s="137" t="str">
        <f>'ICS.Non-Life type risk'!G22</f>
        <v>-</v>
      </c>
      <c r="H22" s="137" t="s">
        <v>90</v>
      </c>
      <c r="I22" s="1376" t="s">
        <v>90</v>
      </c>
      <c r="J22" s="137" t="s">
        <v>90</v>
      </c>
      <c r="K22" s="786" t="s">
        <v>710</v>
      </c>
      <c r="L22" s="787">
        <f t="shared" si="3"/>
        <v>0.25</v>
      </c>
      <c r="M22" s="788">
        <f t="shared" si="4"/>
        <v>0.25</v>
      </c>
      <c r="N22" s="788">
        <f t="shared" si="5"/>
        <v>0.75</v>
      </c>
      <c r="P22" s="699" t="s">
        <v>87</v>
      </c>
      <c r="R22" s="785">
        <v>2</v>
      </c>
      <c r="S22" s="743">
        <v>3</v>
      </c>
      <c r="AP22" s="699" t="s">
        <v>87</v>
      </c>
    </row>
    <row r="23" spans="1:42" x14ac:dyDescent="0.2">
      <c r="A23" s="641" t="s">
        <v>753</v>
      </c>
      <c r="B23" s="169">
        <v>4</v>
      </c>
      <c r="C23" s="285" t="str">
        <f t="shared" si="1"/>
        <v>-</v>
      </c>
      <c r="D23" s="739" t="str">
        <f t="shared" si="2"/>
        <v>-</v>
      </c>
      <c r="E23" s="137" t="str">
        <f>'ICS.Non-Life type risk'!E23</f>
        <v>-</v>
      </c>
      <c r="F23" s="794" t="s">
        <v>90</v>
      </c>
      <c r="G23" s="137" t="str">
        <f>'ICS.Non-Life type risk'!G23</f>
        <v>-</v>
      </c>
      <c r="H23" s="137" t="s">
        <v>90</v>
      </c>
      <c r="I23" s="137" t="s">
        <v>90</v>
      </c>
      <c r="J23" s="137" t="s">
        <v>90</v>
      </c>
      <c r="K23" s="786" t="s">
        <v>710</v>
      </c>
      <c r="L23" s="787">
        <f t="shared" si="3"/>
        <v>0.3</v>
      </c>
      <c r="M23" s="788">
        <f t="shared" si="4"/>
        <v>0.2</v>
      </c>
      <c r="N23" s="788">
        <f t="shared" si="5"/>
        <v>0.75</v>
      </c>
      <c r="P23" s="699" t="s">
        <v>87</v>
      </c>
      <c r="R23" s="785">
        <v>3</v>
      </c>
      <c r="S23" s="743">
        <v>2</v>
      </c>
      <c r="AP23" s="699" t="s">
        <v>87</v>
      </c>
    </row>
    <row r="24" spans="1:42" x14ac:dyDescent="0.2">
      <c r="A24" s="641" t="s">
        <v>755</v>
      </c>
      <c r="B24" s="169">
        <v>5</v>
      </c>
      <c r="C24" s="285" t="str">
        <f t="shared" si="1"/>
        <v>-</v>
      </c>
      <c r="D24" s="739" t="str">
        <f t="shared" si="2"/>
        <v>-</v>
      </c>
      <c r="E24" s="137" t="str">
        <f>'ICS.Non-Life type risk'!E24</f>
        <v>-</v>
      </c>
      <c r="F24" s="794" t="s">
        <v>90</v>
      </c>
      <c r="G24" s="137" t="str">
        <f>'ICS.Non-Life type risk'!G24</f>
        <v>-</v>
      </c>
      <c r="H24" s="137" t="s">
        <v>90</v>
      </c>
      <c r="I24" s="137" t="s">
        <v>90</v>
      </c>
      <c r="J24" s="137" t="s">
        <v>90</v>
      </c>
      <c r="K24" s="786" t="s">
        <v>709</v>
      </c>
      <c r="L24" s="787">
        <f t="shared" si="3"/>
        <v>0.25</v>
      </c>
      <c r="M24" s="788">
        <f t="shared" si="4"/>
        <v>0.2</v>
      </c>
      <c r="N24" s="788">
        <f t="shared" si="5"/>
        <v>0.25</v>
      </c>
      <c r="P24" s="699" t="s">
        <v>87</v>
      </c>
      <c r="R24" s="785">
        <v>2</v>
      </c>
      <c r="S24" s="743">
        <v>2</v>
      </c>
      <c r="AP24" s="699" t="s">
        <v>87</v>
      </c>
    </row>
    <row r="25" spans="1:42" x14ac:dyDescent="0.2">
      <c r="A25" s="641" t="s">
        <v>756</v>
      </c>
      <c r="B25" s="169">
        <v>6</v>
      </c>
      <c r="C25" s="285" t="str">
        <f t="shared" si="1"/>
        <v>-</v>
      </c>
      <c r="D25" s="739" t="str">
        <f t="shared" si="2"/>
        <v>-</v>
      </c>
      <c r="E25" s="137" t="str">
        <f>'ICS.Non-Life type risk'!E25</f>
        <v>-</v>
      </c>
      <c r="F25" s="794" t="s">
        <v>90</v>
      </c>
      <c r="G25" s="137" t="str">
        <f>'ICS.Non-Life type risk'!G25</f>
        <v>-</v>
      </c>
      <c r="H25" s="137" t="s">
        <v>90</v>
      </c>
      <c r="I25" s="137" t="s">
        <v>90</v>
      </c>
      <c r="J25" s="137" t="s">
        <v>90</v>
      </c>
      <c r="K25" s="786" t="s">
        <v>709</v>
      </c>
      <c r="L25" s="787">
        <f t="shared" si="3"/>
        <v>0.35</v>
      </c>
      <c r="M25" s="788">
        <f t="shared" si="4"/>
        <v>0.25</v>
      </c>
      <c r="N25" s="788">
        <f t="shared" si="5"/>
        <v>0.25</v>
      </c>
      <c r="P25" s="699" t="s">
        <v>87</v>
      </c>
      <c r="R25" s="785">
        <v>4</v>
      </c>
      <c r="S25" s="743">
        <v>3</v>
      </c>
      <c r="AP25" s="699" t="s">
        <v>87</v>
      </c>
    </row>
    <row r="26" spans="1:42" x14ac:dyDescent="0.2">
      <c r="A26" s="641" t="s">
        <v>757</v>
      </c>
      <c r="B26" s="169">
        <v>7</v>
      </c>
      <c r="C26" s="285" t="str">
        <f t="shared" si="1"/>
        <v>-</v>
      </c>
      <c r="D26" s="739" t="str">
        <f t="shared" si="2"/>
        <v>-</v>
      </c>
      <c r="E26" s="137" t="str">
        <f>'ICS.Non-Life type risk'!E26</f>
        <v>-</v>
      </c>
      <c r="F26" s="794" t="s">
        <v>90</v>
      </c>
      <c r="G26" s="137" t="str">
        <f>'ICS.Non-Life type risk'!G26</f>
        <v>-</v>
      </c>
      <c r="H26" s="137" t="s">
        <v>90</v>
      </c>
      <c r="I26" s="137" t="s">
        <v>90</v>
      </c>
      <c r="J26" s="137" t="s">
        <v>90</v>
      </c>
      <c r="K26" s="786" t="s">
        <v>709</v>
      </c>
      <c r="L26" s="787">
        <f t="shared" si="3"/>
        <v>0.25</v>
      </c>
      <c r="M26" s="788">
        <f t="shared" si="4"/>
        <v>0.25</v>
      </c>
      <c r="N26" s="788">
        <f t="shared" si="5"/>
        <v>0.25</v>
      </c>
      <c r="P26" s="699" t="s">
        <v>87</v>
      </c>
      <c r="R26" s="785">
        <v>2</v>
      </c>
      <c r="S26" s="743">
        <v>3</v>
      </c>
      <c r="AP26" s="699" t="s">
        <v>87</v>
      </c>
    </row>
    <row r="27" spans="1:42" x14ac:dyDescent="0.2">
      <c r="A27" s="641" t="s">
        <v>758</v>
      </c>
      <c r="B27" s="169">
        <v>8</v>
      </c>
      <c r="C27" s="285" t="str">
        <f t="shared" si="1"/>
        <v>-</v>
      </c>
      <c r="D27" s="739" t="str">
        <f t="shared" si="2"/>
        <v>-</v>
      </c>
      <c r="E27" s="137" t="str">
        <f>'ICS.Non-Life type risk'!E27</f>
        <v>-</v>
      </c>
      <c r="F27" s="794" t="s">
        <v>90</v>
      </c>
      <c r="G27" s="137" t="str">
        <f>'ICS.Non-Life type risk'!G27</f>
        <v>-</v>
      </c>
      <c r="H27" s="137" t="s">
        <v>90</v>
      </c>
      <c r="I27" s="137" t="s">
        <v>90</v>
      </c>
      <c r="J27" s="137" t="s">
        <v>90</v>
      </c>
      <c r="K27" s="786" t="s">
        <v>710</v>
      </c>
      <c r="L27" s="787">
        <f t="shared" si="3"/>
        <v>0.35</v>
      </c>
      <c r="M27" s="788">
        <f t="shared" si="4"/>
        <v>0.25</v>
      </c>
      <c r="N27" s="788">
        <f t="shared" si="5"/>
        <v>0.75</v>
      </c>
      <c r="P27" s="699" t="s">
        <v>87</v>
      </c>
      <c r="R27" s="785">
        <v>4</v>
      </c>
      <c r="S27" s="743">
        <v>3</v>
      </c>
      <c r="AP27" s="699" t="s">
        <v>87</v>
      </c>
    </row>
    <row r="28" spans="1:42" x14ac:dyDescent="0.2">
      <c r="A28" s="641" t="s">
        <v>759</v>
      </c>
      <c r="B28" s="169">
        <v>9</v>
      </c>
      <c r="C28" s="285" t="str">
        <f t="shared" si="1"/>
        <v>-</v>
      </c>
      <c r="D28" s="739" t="str">
        <f t="shared" si="2"/>
        <v>-</v>
      </c>
      <c r="E28" s="137" t="str">
        <f>'ICS.Non-Life type risk'!E28</f>
        <v>-</v>
      </c>
      <c r="F28" s="794" t="s">
        <v>90</v>
      </c>
      <c r="G28" s="137" t="str">
        <f>'ICS.Non-Life type risk'!G28</f>
        <v>-</v>
      </c>
      <c r="H28" s="137" t="s">
        <v>90</v>
      </c>
      <c r="I28" s="137" t="s">
        <v>90</v>
      </c>
      <c r="J28" s="137" t="s">
        <v>90</v>
      </c>
      <c r="K28" s="786" t="s">
        <v>707</v>
      </c>
      <c r="L28" s="787">
        <f t="shared" si="3"/>
        <v>0.3</v>
      </c>
      <c r="M28" s="788">
        <f t="shared" si="4"/>
        <v>0.4</v>
      </c>
      <c r="N28" s="788">
        <f t="shared" si="5"/>
        <v>0.75</v>
      </c>
      <c r="P28" s="699" t="s">
        <v>87</v>
      </c>
      <c r="R28" s="785">
        <v>3</v>
      </c>
      <c r="S28" s="743">
        <v>6</v>
      </c>
      <c r="AP28" s="699" t="s">
        <v>87</v>
      </c>
    </row>
    <row r="29" spans="1:42" x14ac:dyDescent="0.2">
      <c r="A29" s="641" t="s">
        <v>760</v>
      </c>
      <c r="B29" s="169">
        <v>10</v>
      </c>
      <c r="C29" s="285" t="str">
        <f t="shared" si="1"/>
        <v>-</v>
      </c>
      <c r="D29" s="739" t="str">
        <f t="shared" si="2"/>
        <v>-</v>
      </c>
      <c r="E29" s="137" t="str">
        <f>'ICS.Non-Life type risk'!E29</f>
        <v>-</v>
      </c>
      <c r="F29" s="794" t="s">
        <v>90</v>
      </c>
      <c r="G29" s="137" t="str">
        <f>'ICS.Non-Life type risk'!G29</f>
        <v>-</v>
      </c>
      <c r="H29" s="137" t="s">
        <v>90</v>
      </c>
      <c r="I29" s="137" t="s">
        <v>90</v>
      </c>
      <c r="J29" s="137" t="s">
        <v>90</v>
      </c>
      <c r="K29" s="786" t="s">
        <v>350</v>
      </c>
      <c r="L29" s="787">
        <f t="shared" si="3"/>
        <v>0.15</v>
      </c>
      <c r="M29" s="788">
        <f t="shared" si="4"/>
        <v>0.3</v>
      </c>
      <c r="N29" s="788">
        <f t="shared" si="5"/>
        <v>0.5</v>
      </c>
      <c r="P29" s="699" t="s">
        <v>87</v>
      </c>
      <c r="R29" s="785">
        <v>1</v>
      </c>
      <c r="S29" s="743">
        <v>4</v>
      </c>
      <c r="AP29" s="699" t="s">
        <v>87</v>
      </c>
    </row>
    <row r="30" spans="1:42" x14ac:dyDescent="0.2">
      <c r="A30" s="641" t="s">
        <v>761</v>
      </c>
      <c r="B30" s="169">
        <v>11</v>
      </c>
      <c r="C30" s="285" t="str">
        <f t="shared" si="1"/>
        <v>-</v>
      </c>
      <c r="D30" s="739" t="str">
        <f t="shared" si="2"/>
        <v>-</v>
      </c>
      <c r="E30" s="137" t="str">
        <f>'ICS.Non-Life type risk'!E30</f>
        <v>-</v>
      </c>
      <c r="F30" s="794" t="s">
        <v>90</v>
      </c>
      <c r="G30" s="137" t="str">
        <f>'ICS.Non-Life type risk'!G30</f>
        <v>-</v>
      </c>
      <c r="H30" s="137" t="s">
        <v>90</v>
      </c>
      <c r="I30" s="137" t="s">
        <v>90</v>
      </c>
      <c r="J30" s="137" t="s">
        <v>90</v>
      </c>
      <c r="K30" s="786" t="s">
        <v>350</v>
      </c>
      <c r="L30" s="787">
        <f t="shared" si="3"/>
        <v>0.25</v>
      </c>
      <c r="M30" s="788">
        <f t="shared" si="4"/>
        <v>0.45</v>
      </c>
      <c r="N30" s="788">
        <f t="shared" si="5"/>
        <v>0.5</v>
      </c>
      <c r="P30" s="699" t="s">
        <v>87</v>
      </c>
      <c r="R30" s="785">
        <v>2</v>
      </c>
      <c r="S30" s="743">
        <v>7</v>
      </c>
      <c r="AP30" s="699" t="s">
        <v>87</v>
      </c>
    </row>
    <row r="31" spans="1:42" x14ac:dyDescent="0.2">
      <c r="A31" s="641" t="s">
        <v>762</v>
      </c>
      <c r="B31" s="169">
        <v>12</v>
      </c>
      <c r="C31" s="285" t="str">
        <f t="shared" si="1"/>
        <v>-</v>
      </c>
      <c r="D31" s="739" t="str">
        <f t="shared" si="2"/>
        <v>-</v>
      </c>
      <c r="E31" s="137" t="str">
        <f>'ICS.Non-Life type risk'!E31</f>
        <v>-</v>
      </c>
      <c r="F31" s="794" t="s">
        <v>90</v>
      </c>
      <c r="G31" s="137" t="str">
        <f>'ICS.Non-Life type risk'!G31</f>
        <v>-</v>
      </c>
      <c r="H31" s="137" t="s">
        <v>90</v>
      </c>
      <c r="I31" s="137" t="s">
        <v>90</v>
      </c>
      <c r="J31" s="137" t="s">
        <v>90</v>
      </c>
      <c r="K31" s="786" t="s">
        <v>350</v>
      </c>
      <c r="L31" s="787">
        <f t="shared" si="3"/>
        <v>0.3</v>
      </c>
      <c r="M31" s="788">
        <f t="shared" si="4"/>
        <v>0.45</v>
      </c>
      <c r="N31" s="788">
        <f t="shared" si="5"/>
        <v>0.5</v>
      </c>
      <c r="P31" s="699" t="s">
        <v>87</v>
      </c>
      <c r="R31" s="785">
        <v>3</v>
      </c>
      <c r="S31" s="743">
        <v>7</v>
      </c>
      <c r="AP31" s="699" t="s">
        <v>87</v>
      </c>
    </row>
    <row r="32" spans="1:42" x14ac:dyDescent="0.2">
      <c r="A32" s="641" t="s">
        <v>763</v>
      </c>
      <c r="B32" s="169">
        <v>13</v>
      </c>
      <c r="C32" s="285" t="str">
        <f t="shared" si="1"/>
        <v>-</v>
      </c>
      <c r="D32" s="739" t="str">
        <f t="shared" si="2"/>
        <v>-</v>
      </c>
      <c r="E32" s="137" t="str">
        <f>'ICS.Non-Life type risk'!E32</f>
        <v>-</v>
      </c>
      <c r="F32" s="794" t="s">
        <v>90</v>
      </c>
      <c r="G32" s="137" t="str">
        <f>'ICS.Non-Life type risk'!G32</f>
        <v>-</v>
      </c>
      <c r="H32" s="137" t="s">
        <v>90</v>
      </c>
      <c r="I32" s="137" t="s">
        <v>90</v>
      </c>
      <c r="J32" s="137" t="s">
        <v>90</v>
      </c>
      <c r="K32" s="786" t="s">
        <v>350</v>
      </c>
      <c r="L32" s="787">
        <f t="shared" si="3"/>
        <v>0.5</v>
      </c>
      <c r="M32" s="788">
        <f t="shared" si="4"/>
        <v>0.45</v>
      </c>
      <c r="N32" s="788">
        <f t="shared" si="5"/>
        <v>0.5</v>
      </c>
      <c r="P32" s="699" t="s">
        <v>87</v>
      </c>
      <c r="R32" s="785">
        <v>6</v>
      </c>
      <c r="S32" s="743">
        <v>7</v>
      </c>
      <c r="AP32" s="699" t="s">
        <v>87</v>
      </c>
    </row>
    <row r="33" spans="1:43" x14ac:dyDescent="0.2">
      <c r="A33" s="641" t="s">
        <v>764</v>
      </c>
      <c r="B33" s="169">
        <v>14</v>
      </c>
      <c r="C33" s="285" t="str">
        <f t="shared" si="1"/>
        <v>-</v>
      </c>
      <c r="D33" s="739" t="str">
        <f t="shared" si="2"/>
        <v>-</v>
      </c>
      <c r="E33" s="137" t="str">
        <f>'ICS.Non-Life type risk'!E33</f>
        <v>-</v>
      </c>
      <c r="F33" s="794" t="s">
        <v>90</v>
      </c>
      <c r="G33" s="137" t="str">
        <f>'ICS.Non-Life type risk'!G33</f>
        <v>-</v>
      </c>
      <c r="H33" s="137" t="s">
        <v>90</v>
      </c>
      <c r="I33" s="137" t="s">
        <v>90</v>
      </c>
      <c r="J33" s="137" t="s">
        <v>90</v>
      </c>
      <c r="K33" s="786" t="s">
        <v>710</v>
      </c>
      <c r="L33" s="787">
        <f t="shared" si="3"/>
        <v>0.5</v>
      </c>
      <c r="M33" s="788">
        <f t="shared" si="4"/>
        <v>0.45</v>
      </c>
      <c r="N33" s="788">
        <f t="shared" si="5"/>
        <v>0.75</v>
      </c>
      <c r="P33" s="699" t="s">
        <v>87</v>
      </c>
      <c r="R33" s="785">
        <v>6</v>
      </c>
      <c r="S33" s="743">
        <v>7</v>
      </c>
      <c r="AP33" s="699" t="s">
        <v>87</v>
      </c>
    </row>
    <row r="34" spans="1:43" x14ac:dyDescent="0.2">
      <c r="A34" s="641" t="s">
        <v>765</v>
      </c>
      <c r="B34" s="169">
        <v>15</v>
      </c>
      <c r="C34" s="285" t="str">
        <f t="shared" si="1"/>
        <v>-</v>
      </c>
      <c r="D34" s="739" t="str">
        <f t="shared" si="2"/>
        <v>-</v>
      </c>
      <c r="E34" s="137" t="str">
        <f>'ICS.Non-Life type risk'!E34</f>
        <v>-</v>
      </c>
      <c r="F34" s="794" t="s">
        <v>90</v>
      </c>
      <c r="G34" s="137" t="str">
        <f>'ICS.Non-Life type risk'!G34</f>
        <v>-</v>
      </c>
      <c r="H34" s="137" t="s">
        <v>90</v>
      </c>
      <c r="I34" s="137" t="s">
        <v>90</v>
      </c>
      <c r="J34" s="137" t="s">
        <v>90</v>
      </c>
      <c r="K34" s="786" t="s">
        <v>709</v>
      </c>
      <c r="L34" s="787">
        <f t="shared" si="3"/>
        <v>0.5</v>
      </c>
      <c r="M34" s="788">
        <f t="shared" si="4"/>
        <v>0.45</v>
      </c>
      <c r="N34" s="788">
        <f t="shared" si="5"/>
        <v>0.25</v>
      </c>
      <c r="P34" s="699" t="s">
        <v>87</v>
      </c>
      <c r="R34" s="785">
        <v>6</v>
      </c>
      <c r="S34" s="743">
        <v>7</v>
      </c>
      <c r="AP34" s="699" t="s">
        <v>87</v>
      </c>
    </row>
    <row r="35" spans="1:43" x14ac:dyDescent="0.2">
      <c r="A35" s="97" t="s">
        <v>766</v>
      </c>
      <c r="B35" s="162">
        <v>16</v>
      </c>
      <c r="C35" s="153" t="str">
        <f t="shared" si="1"/>
        <v>-</v>
      </c>
      <c r="D35" s="756" t="str">
        <f t="shared" si="2"/>
        <v>-</v>
      </c>
      <c r="E35" s="139" t="str">
        <f>'ICS.Non-Life type risk'!E35</f>
        <v>-</v>
      </c>
      <c r="F35" s="796" t="s">
        <v>90</v>
      </c>
      <c r="G35" s="139" t="str">
        <f>'ICS.Non-Life type risk'!G35</f>
        <v>-</v>
      </c>
      <c r="H35" s="139" t="s">
        <v>90</v>
      </c>
      <c r="I35" s="139" t="s">
        <v>90</v>
      </c>
      <c r="J35" s="139" t="s">
        <v>90</v>
      </c>
      <c r="K35" s="789" t="s">
        <v>709</v>
      </c>
      <c r="L35" s="790">
        <f t="shared" si="3"/>
        <v>0.5</v>
      </c>
      <c r="M35" s="791">
        <f t="shared" si="4"/>
        <v>0.45</v>
      </c>
      <c r="N35" s="791">
        <f t="shared" si="5"/>
        <v>0.25</v>
      </c>
      <c r="P35" s="699" t="s">
        <v>87</v>
      </c>
      <c r="R35" s="792">
        <v>6</v>
      </c>
      <c r="S35" s="762">
        <v>7</v>
      </c>
      <c r="AP35" s="699" t="s">
        <v>87</v>
      </c>
    </row>
    <row r="36" spans="1:43" x14ac:dyDescent="0.2">
      <c r="P36" s="699" t="s">
        <v>87</v>
      </c>
      <c r="AJ36" s="700"/>
      <c r="AK36" s="761"/>
      <c r="AL36" s="761"/>
      <c r="AM36" s="761"/>
      <c r="AN36" s="761"/>
      <c r="AO36" s="761"/>
      <c r="AP36" s="699" t="s">
        <v>87</v>
      </c>
      <c r="AQ36" s="719"/>
    </row>
    <row r="37" spans="1:43" ht="14.25" x14ac:dyDescent="0.2">
      <c r="A37" s="793" t="str">
        <f>$A$17</f>
        <v>Detailed information for</v>
      </c>
      <c r="B37" s="764"/>
      <c r="C37" s="765" t="s">
        <v>731</v>
      </c>
      <c r="D37" s="766" t="s">
        <v>732</v>
      </c>
      <c r="E37" s="767"/>
      <c r="F37" s="767"/>
      <c r="G37" s="768"/>
      <c r="H37" s="769" t="s">
        <v>733</v>
      </c>
      <c r="I37" s="770"/>
      <c r="J37" s="770"/>
      <c r="K37" s="771" t="s">
        <v>33</v>
      </c>
      <c r="L37" s="772" t="s">
        <v>734</v>
      </c>
      <c r="M37" s="770"/>
      <c r="N37" s="770"/>
      <c r="P37" s="699" t="s">
        <v>87</v>
      </c>
      <c r="R37" s="773" t="s">
        <v>735</v>
      </c>
      <c r="S37" s="770"/>
      <c r="AJ37" s="719"/>
      <c r="AK37" s="719"/>
      <c r="AL37" s="719"/>
      <c r="AM37" s="719"/>
      <c r="AN37" s="719"/>
      <c r="AO37" s="719"/>
      <c r="AP37" s="699" t="s">
        <v>87</v>
      </c>
      <c r="AQ37" s="719"/>
    </row>
    <row r="38" spans="1:43" ht="15" x14ac:dyDescent="0.25">
      <c r="A38" s="774" t="s">
        <v>767</v>
      </c>
      <c r="B38" s="775"/>
      <c r="C38" s="776" t="s">
        <v>736</v>
      </c>
      <c r="D38" s="777" t="s">
        <v>173</v>
      </c>
      <c r="E38" s="777" t="s">
        <v>737</v>
      </c>
      <c r="F38" s="777" t="s">
        <v>738</v>
      </c>
      <c r="G38" s="777" t="s">
        <v>739</v>
      </c>
      <c r="H38" s="777" t="s">
        <v>737</v>
      </c>
      <c r="I38" s="777" t="s">
        <v>738</v>
      </c>
      <c r="J38" s="777" t="s">
        <v>740</v>
      </c>
      <c r="K38" s="778" t="s">
        <v>8</v>
      </c>
      <c r="L38" s="779" t="s">
        <v>741</v>
      </c>
      <c r="M38" s="779" t="s">
        <v>742</v>
      </c>
      <c r="N38" s="780" t="s">
        <v>743</v>
      </c>
      <c r="P38" s="699" t="s">
        <v>87</v>
      </c>
      <c r="R38" s="777" t="s">
        <v>744</v>
      </c>
      <c r="S38" s="777" t="s">
        <v>745</v>
      </c>
      <c r="AJ38" s="719"/>
      <c r="AK38" s="719"/>
      <c r="AL38" s="719"/>
      <c r="AM38" s="719"/>
      <c r="AN38" s="719"/>
      <c r="AO38" s="719"/>
      <c r="AP38" s="699" t="s">
        <v>87</v>
      </c>
      <c r="AQ38" s="719"/>
    </row>
    <row r="39" spans="1:43" ht="14.25" x14ac:dyDescent="0.2">
      <c r="A39" s="662"/>
      <c r="B39" s="104">
        <v>156</v>
      </c>
      <c r="C39" s="167" t="s">
        <v>746</v>
      </c>
      <c r="D39" s="167" t="s">
        <v>747</v>
      </c>
      <c r="E39" s="167">
        <v>3</v>
      </c>
      <c r="F39" s="167">
        <v>4</v>
      </c>
      <c r="G39" s="167">
        <v>5</v>
      </c>
      <c r="H39" s="167">
        <v>6</v>
      </c>
      <c r="I39" s="167">
        <v>7</v>
      </c>
      <c r="J39" s="167">
        <v>8</v>
      </c>
      <c r="K39" s="167"/>
      <c r="L39" s="167"/>
      <c r="M39" s="167"/>
      <c r="N39" s="214"/>
      <c r="P39" s="699" t="s">
        <v>87</v>
      </c>
      <c r="R39" s="781"/>
      <c r="S39" s="106"/>
      <c r="AJ39" s="719"/>
      <c r="AK39" s="719"/>
      <c r="AL39" s="719"/>
      <c r="AM39" s="719"/>
      <c r="AN39" s="719"/>
      <c r="AO39" s="719"/>
      <c r="AP39" s="699" t="s">
        <v>87</v>
      </c>
      <c r="AQ39" s="719"/>
    </row>
    <row r="40" spans="1:43" x14ac:dyDescent="0.2">
      <c r="A40" s="641" t="s">
        <v>768</v>
      </c>
      <c r="B40" s="169">
        <v>1</v>
      </c>
      <c r="C40" s="285" t="str">
        <f t="shared" ref="C40:C60" si="6">IF(OR(D40&lt;&gt;"-",I40&lt;&gt;"-"),SQRT(PRODUCT(L40,SUM(D40))^2+PRODUCT(M40,SUM(I40))^2+2*PRODUCT(N40,L40,SUM(D40),M40,SUM(I40))),"-")</f>
        <v>-</v>
      </c>
      <c r="D40" s="133" t="str">
        <f t="shared" ref="D40:D60" si="7">IF(OR(F40&lt;&gt;"-",G40&lt;&gt;"-"),MAX(SUM(F40),SUM(G40)),"-")</f>
        <v>-</v>
      </c>
      <c r="E40" s="149" t="s">
        <v>90</v>
      </c>
      <c r="F40" s="797" t="s">
        <v>90</v>
      </c>
      <c r="G40" s="149" t="s">
        <v>90</v>
      </c>
      <c r="H40" s="137" t="s">
        <v>90</v>
      </c>
      <c r="I40" s="794" t="s">
        <v>90</v>
      </c>
      <c r="J40" s="794" t="s">
        <v>90</v>
      </c>
      <c r="K40" s="786" t="s">
        <v>709</v>
      </c>
      <c r="L40" s="787">
        <f t="shared" ref="L40:L60" si="8">IFERROR(INDEX(ICS.NL.Buckets.P,R40),"-")</f>
        <v>0.3</v>
      </c>
      <c r="M40" s="787">
        <f t="shared" ref="M40:M60" si="9">IFERROR(INDEX(ICS.NL.Buckets.R,S40),"-")</f>
        <v>0.25</v>
      </c>
      <c r="N40" s="788">
        <f t="shared" ref="N40:N60" si="10">IFERROR(INDEX(ICS.NL.Corr.P_R,MATCH(K40,ICS.NL.CategMapping,0)),1)</f>
        <v>0.25</v>
      </c>
      <c r="P40" s="699" t="s">
        <v>87</v>
      </c>
      <c r="R40" s="785">
        <v>3</v>
      </c>
      <c r="S40" s="743">
        <v>3</v>
      </c>
      <c r="AO40" s="719"/>
      <c r="AP40" s="699" t="s">
        <v>87</v>
      </c>
      <c r="AQ40" s="719"/>
    </row>
    <row r="41" spans="1:43" x14ac:dyDescent="0.2">
      <c r="A41" s="641" t="s">
        <v>769</v>
      </c>
      <c r="B41" s="169">
        <v>2</v>
      </c>
      <c r="C41" s="285" t="str">
        <f t="shared" si="6"/>
        <v>-</v>
      </c>
      <c r="D41" s="739" t="str">
        <f t="shared" si="7"/>
        <v>-</v>
      </c>
      <c r="E41" s="137" t="s">
        <v>90</v>
      </c>
      <c r="F41" s="794" t="s">
        <v>90</v>
      </c>
      <c r="G41" s="137" t="s">
        <v>90</v>
      </c>
      <c r="H41" s="137" t="s">
        <v>90</v>
      </c>
      <c r="I41" s="794" t="s">
        <v>90</v>
      </c>
      <c r="J41" s="794" t="s">
        <v>90</v>
      </c>
      <c r="K41" s="786" t="s">
        <v>709</v>
      </c>
      <c r="L41" s="788">
        <f t="shared" si="8"/>
        <v>0.3</v>
      </c>
      <c r="M41" s="788">
        <f t="shared" si="9"/>
        <v>0.25</v>
      </c>
      <c r="N41" s="788">
        <f t="shared" si="10"/>
        <v>0.25</v>
      </c>
      <c r="P41" s="699" t="s">
        <v>87</v>
      </c>
      <c r="R41" s="785">
        <v>3</v>
      </c>
      <c r="S41" s="743">
        <v>3</v>
      </c>
      <c r="AO41" s="719"/>
      <c r="AP41" s="699" t="s">
        <v>87</v>
      </c>
      <c r="AQ41" s="719"/>
    </row>
    <row r="42" spans="1:43" ht="14.25" x14ac:dyDescent="0.2">
      <c r="A42" s="641" t="s">
        <v>770</v>
      </c>
      <c r="B42" s="169">
        <v>3</v>
      </c>
      <c r="C42" s="285" t="str">
        <f t="shared" si="6"/>
        <v>-</v>
      </c>
      <c r="D42" s="739" t="str">
        <f t="shared" si="7"/>
        <v>-</v>
      </c>
      <c r="E42" s="137" t="s">
        <v>90</v>
      </c>
      <c r="F42" s="794" t="s">
        <v>90</v>
      </c>
      <c r="G42" s="137" t="s">
        <v>90</v>
      </c>
      <c r="H42" s="137" t="s">
        <v>90</v>
      </c>
      <c r="I42" s="794" t="s">
        <v>90</v>
      </c>
      <c r="J42" s="794" t="s">
        <v>90</v>
      </c>
      <c r="K42" s="786" t="s">
        <v>709</v>
      </c>
      <c r="L42" s="788">
        <f t="shared" si="8"/>
        <v>0.3</v>
      </c>
      <c r="M42" s="788">
        <f t="shared" si="9"/>
        <v>0.25</v>
      </c>
      <c r="N42" s="788">
        <f t="shared" si="10"/>
        <v>0.25</v>
      </c>
      <c r="P42" s="699" t="s">
        <v>87</v>
      </c>
      <c r="R42" s="785">
        <v>3</v>
      </c>
      <c r="S42" s="743">
        <v>3</v>
      </c>
      <c r="AJ42" s="700"/>
      <c r="AK42" s="702"/>
      <c r="AL42" s="795"/>
      <c r="AM42" s="795"/>
      <c r="AN42" s="795"/>
      <c r="AO42" s="719"/>
      <c r="AP42" s="699" t="s">
        <v>87</v>
      </c>
      <c r="AQ42" s="719"/>
    </row>
    <row r="43" spans="1:43" ht="14.25" x14ac:dyDescent="0.2">
      <c r="A43" s="641" t="s">
        <v>771</v>
      </c>
      <c r="B43" s="169">
        <v>4</v>
      </c>
      <c r="C43" s="285" t="str">
        <f t="shared" si="6"/>
        <v>-</v>
      </c>
      <c r="D43" s="739" t="str">
        <f t="shared" si="7"/>
        <v>-</v>
      </c>
      <c r="E43" s="137" t="s">
        <v>90</v>
      </c>
      <c r="F43" s="794" t="s">
        <v>90</v>
      </c>
      <c r="G43" s="137" t="s">
        <v>90</v>
      </c>
      <c r="H43" s="137" t="s">
        <v>90</v>
      </c>
      <c r="I43" s="794" t="s">
        <v>90</v>
      </c>
      <c r="J43" s="794" t="s">
        <v>90</v>
      </c>
      <c r="K43" s="786" t="s">
        <v>709</v>
      </c>
      <c r="L43" s="788">
        <f t="shared" si="8"/>
        <v>0.3</v>
      </c>
      <c r="M43" s="788">
        <f t="shared" si="9"/>
        <v>0.2</v>
      </c>
      <c r="N43" s="788">
        <f t="shared" si="10"/>
        <v>0.25</v>
      </c>
      <c r="P43" s="699" t="s">
        <v>87</v>
      </c>
      <c r="R43" s="785">
        <v>3</v>
      </c>
      <c r="S43" s="743">
        <v>2</v>
      </c>
      <c r="AJ43" s="700"/>
      <c r="AK43" s="761"/>
      <c r="AL43" s="702"/>
      <c r="AM43" s="795"/>
      <c r="AN43" s="795"/>
      <c r="AO43" s="719"/>
      <c r="AP43" s="699" t="s">
        <v>87</v>
      </c>
      <c r="AQ43" s="719"/>
    </row>
    <row r="44" spans="1:43" ht="14.25" x14ac:dyDescent="0.2">
      <c r="A44" s="641" t="s">
        <v>772</v>
      </c>
      <c r="B44" s="169">
        <v>5</v>
      </c>
      <c r="C44" s="285" t="str">
        <f t="shared" si="6"/>
        <v>-</v>
      </c>
      <c r="D44" s="739" t="str">
        <f t="shared" si="7"/>
        <v>-</v>
      </c>
      <c r="E44" s="137" t="s">
        <v>90</v>
      </c>
      <c r="F44" s="794" t="s">
        <v>90</v>
      </c>
      <c r="G44" s="137" t="s">
        <v>90</v>
      </c>
      <c r="H44" s="137" t="s">
        <v>90</v>
      </c>
      <c r="I44" s="794" t="s">
        <v>90</v>
      </c>
      <c r="J44" s="794" t="s">
        <v>90</v>
      </c>
      <c r="K44" s="786" t="s">
        <v>709</v>
      </c>
      <c r="L44" s="788">
        <f t="shared" si="8"/>
        <v>0.45</v>
      </c>
      <c r="M44" s="788">
        <f t="shared" si="9"/>
        <v>0.3</v>
      </c>
      <c r="N44" s="788">
        <f t="shared" si="10"/>
        <v>0.25</v>
      </c>
      <c r="P44" s="699" t="s">
        <v>87</v>
      </c>
      <c r="R44" s="785">
        <v>5</v>
      </c>
      <c r="S44" s="743">
        <v>4</v>
      </c>
      <c r="AJ44" s="700"/>
      <c r="AK44" s="761"/>
      <c r="AL44" s="761"/>
      <c r="AM44" s="702"/>
      <c r="AN44" s="795"/>
      <c r="AO44" s="719"/>
      <c r="AP44" s="699" t="s">
        <v>87</v>
      </c>
      <c r="AQ44" s="719"/>
    </row>
    <row r="45" spans="1:43" x14ac:dyDescent="0.2">
      <c r="A45" s="641" t="s">
        <v>773</v>
      </c>
      <c r="B45" s="169">
        <v>6</v>
      </c>
      <c r="C45" s="285" t="str">
        <f t="shared" si="6"/>
        <v>-</v>
      </c>
      <c r="D45" s="739" t="str">
        <f t="shared" si="7"/>
        <v>-</v>
      </c>
      <c r="E45" s="137" t="s">
        <v>90</v>
      </c>
      <c r="F45" s="794" t="s">
        <v>90</v>
      </c>
      <c r="G45" s="137" t="s">
        <v>90</v>
      </c>
      <c r="H45" s="137" t="s">
        <v>90</v>
      </c>
      <c r="I45" s="794" t="s">
        <v>90</v>
      </c>
      <c r="J45" s="794" t="s">
        <v>90</v>
      </c>
      <c r="K45" s="786" t="s">
        <v>710</v>
      </c>
      <c r="L45" s="788">
        <f t="shared" si="8"/>
        <v>0.25</v>
      </c>
      <c r="M45" s="788">
        <f t="shared" si="9"/>
        <v>0.2</v>
      </c>
      <c r="N45" s="788">
        <f t="shared" si="10"/>
        <v>0.75</v>
      </c>
      <c r="P45" s="699" t="s">
        <v>87</v>
      </c>
      <c r="R45" s="785">
        <v>2</v>
      </c>
      <c r="S45" s="743">
        <v>2</v>
      </c>
      <c r="AJ45" s="700"/>
      <c r="AK45" s="761"/>
      <c r="AL45" s="761"/>
      <c r="AM45" s="761"/>
      <c r="AN45" s="702"/>
      <c r="AO45" s="719"/>
      <c r="AP45" s="699" t="s">
        <v>87</v>
      </c>
      <c r="AQ45" s="719"/>
    </row>
    <row r="46" spans="1:43" x14ac:dyDescent="0.2">
      <c r="A46" s="641" t="s">
        <v>774</v>
      </c>
      <c r="B46" s="169">
        <v>7</v>
      </c>
      <c r="C46" s="285" t="str">
        <f t="shared" si="6"/>
        <v>-</v>
      </c>
      <c r="D46" s="739" t="str">
        <f t="shared" si="7"/>
        <v>-</v>
      </c>
      <c r="E46" s="137" t="s">
        <v>90</v>
      </c>
      <c r="F46" s="794" t="s">
        <v>90</v>
      </c>
      <c r="G46" s="137" t="s">
        <v>90</v>
      </c>
      <c r="H46" s="137" t="s">
        <v>90</v>
      </c>
      <c r="I46" s="794" t="s">
        <v>90</v>
      </c>
      <c r="J46" s="794" t="s">
        <v>90</v>
      </c>
      <c r="K46" s="786" t="s">
        <v>709</v>
      </c>
      <c r="L46" s="788">
        <f t="shared" si="8"/>
        <v>0.3</v>
      </c>
      <c r="M46" s="788">
        <f t="shared" si="9"/>
        <v>0.25</v>
      </c>
      <c r="N46" s="788">
        <f t="shared" si="10"/>
        <v>0.25</v>
      </c>
      <c r="P46" s="699" t="s">
        <v>87</v>
      </c>
      <c r="R46" s="785">
        <v>3</v>
      </c>
      <c r="S46" s="743">
        <v>3</v>
      </c>
      <c r="AP46" s="699" t="s">
        <v>87</v>
      </c>
    </row>
    <row r="47" spans="1:43" x14ac:dyDescent="0.2">
      <c r="A47" s="641" t="s">
        <v>775</v>
      </c>
      <c r="B47" s="169">
        <v>8</v>
      </c>
      <c r="C47" s="285" t="str">
        <f t="shared" si="6"/>
        <v>-</v>
      </c>
      <c r="D47" s="739" t="str">
        <f t="shared" si="7"/>
        <v>-</v>
      </c>
      <c r="E47" s="137" t="s">
        <v>90</v>
      </c>
      <c r="F47" s="794" t="s">
        <v>90</v>
      </c>
      <c r="G47" s="137" t="s">
        <v>90</v>
      </c>
      <c r="H47" s="137" t="s">
        <v>90</v>
      </c>
      <c r="I47" s="794" t="s">
        <v>90</v>
      </c>
      <c r="J47" s="794" t="s">
        <v>90</v>
      </c>
      <c r="K47" s="786" t="s">
        <v>709</v>
      </c>
      <c r="L47" s="788">
        <f t="shared" si="8"/>
        <v>0.3</v>
      </c>
      <c r="M47" s="788">
        <f t="shared" si="9"/>
        <v>0.25</v>
      </c>
      <c r="N47" s="788">
        <f t="shared" si="10"/>
        <v>0.25</v>
      </c>
      <c r="P47" s="699" t="s">
        <v>87</v>
      </c>
      <c r="R47" s="785">
        <v>3</v>
      </c>
      <c r="S47" s="743">
        <v>3</v>
      </c>
      <c r="AP47" s="699" t="s">
        <v>87</v>
      </c>
    </row>
    <row r="48" spans="1:43" x14ac:dyDescent="0.2">
      <c r="A48" s="641" t="s">
        <v>776</v>
      </c>
      <c r="B48" s="169">
        <v>9</v>
      </c>
      <c r="C48" s="285" t="str">
        <f t="shared" si="6"/>
        <v>-</v>
      </c>
      <c r="D48" s="739" t="str">
        <f t="shared" si="7"/>
        <v>-</v>
      </c>
      <c r="E48" s="137" t="s">
        <v>90</v>
      </c>
      <c r="F48" s="794" t="s">
        <v>90</v>
      </c>
      <c r="G48" s="137" t="s">
        <v>90</v>
      </c>
      <c r="H48" s="137" t="s">
        <v>90</v>
      </c>
      <c r="I48" s="794" t="s">
        <v>90</v>
      </c>
      <c r="J48" s="794" t="s">
        <v>90</v>
      </c>
      <c r="K48" s="786" t="s">
        <v>709</v>
      </c>
      <c r="L48" s="788">
        <f t="shared" si="8"/>
        <v>0.3</v>
      </c>
      <c r="M48" s="788">
        <f t="shared" si="9"/>
        <v>0.25</v>
      </c>
      <c r="N48" s="788">
        <f t="shared" si="10"/>
        <v>0.25</v>
      </c>
      <c r="P48" s="699" t="s">
        <v>87</v>
      </c>
      <c r="R48" s="785">
        <v>3</v>
      </c>
      <c r="S48" s="743">
        <v>3</v>
      </c>
      <c r="AP48" s="699" t="s">
        <v>87</v>
      </c>
    </row>
    <row r="49" spans="1:42" x14ac:dyDescent="0.2">
      <c r="A49" s="641" t="s">
        <v>777</v>
      </c>
      <c r="B49" s="169">
        <v>10</v>
      </c>
      <c r="C49" s="285" t="str">
        <f t="shared" si="6"/>
        <v>-</v>
      </c>
      <c r="D49" s="739" t="str">
        <f t="shared" si="7"/>
        <v>-</v>
      </c>
      <c r="E49" s="137" t="s">
        <v>90</v>
      </c>
      <c r="F49" s="794" t="s">
        <v>90</v>
      </c>
      <c r="G49" s="137" t="s">
        <v>90</v>
      </c>
      <c r="H49" s="137" t="s">
        <v>90</v>
      </c>
      <c r="I49" s="794" t="s">
        <v>90</v>
      </c>
      <c r="J49" s="794" t="s">
        <v>90</v>
      </c>
      <c r="K49" s="786" t="s">
        <v>707</v>
      </c>
      <c r="L49" s="788">
        <f t="shared" si="8"/>
        <v>0.45</v>
      </c>
      <c r="M49" s="788">
        <f t="shared" si="9"/>
        <v>0.3</v>
      </c>
      <c r="N49" s="788">
        <f t="shared" si="10"/>
        <v>0.75</v>
      </c>
      <c r="P49" s="699" t="s">
        <v>87</v>
      </c>
      <c r="R49" s="785">
        <v>5</v>
      </c>
      <c r="S49" s="743">
        <v>4</v>
      </c>
      <c r="AP49" s="699" t="s">
        <v>87</v>
      </c>
    </row>
    <row r="50" spans="1:42" x14ac:dyDescent="0.2">
      <c r="A50" s="641" t="s">
        <v>778</v>
      </c>
      <c r="B50" s="169">
        <v>11</v>
      </c>
      <c r="C50" s="285" t="str">
        <f t="shared" si="6"/>
        <v>-</v>
      </c>
      <c r="D50" s="739" t="str">
        <f t="shared" si="7"/>
        <v>-</v>
      </c>
      <c r="E50" s="137" t="s">
        <v>90</v>
      </c>
      <c r="F50" s="794" t="s">
        <v>90</v>
      </c>
      <c r="G50" s="137" t="s">
        <v>90</v>
      </c>
      <c r="H50" s="137" t="s">
        <v>90</v>
      </c>
      <c r="I50" s="794" t="s">
        <v>90</v>
      </c>
      <c r="J50" s="794" t="s">
        <v>90</v>
      </c>
      <c r="K50" s="786" t="s">
        <v>707</v>
      </c>
      <c r="L50" s="788">
        <f t="shared" si="8"/>
        <v>0.45</v>
      </c>
      <c r="M50" s="788">
        <f t="shared" si="9"/>
        <v>0.3</v>
      </c>
      <c r="N50" s="788">
        <f t="shared" si="10"/>
        <v>0.75</v>
      </c>
      <c r="P50" s="699" t="s">
        <v>87</v>
      </c>
      <c r="R50" s="785">
        <v>5</v>
      </c>
      <c r="S50" s="743">
        <v>4</v>
      </c>
      <c r="AP50" s="699" t="s">
        <v>87</v>
      </c>
    </row>
    <row r="51" spans="1:42" x14ac:dyDescent="0.2">
      <c r="A51" s="641" t="s">
        <v>779</v>
      </c>
      <c r="B51" s="169">
        <v>12</v>
      </c>
      <c r="C51" s="285" t="str">
        <f t="shared" si="6"/>
        <v>-</v>
      </c>
      <c r="D51" s="739" t="str">
        <f t="shared" si="7"/>
        <v>-</v>
      </c>
      <c r="E51" s="137" t="s">
        <v>90</v>
      </c>
      <c r="F51" s="794" t="s">
        <v>90</v>
      </c>
      <c r="G51" s="137" t="s">
        <v>90</v>
      </c>
      <c r="H51" s="137" t="s">
        <v>90</v>
      </c>
      <c r="I51" s="794" t="s">
        <v>90</v>
      </c>
      <c r="J51" s="794" t="s">
        <v>90</v>
      </c>
      <c r="K51" s="786" t="s">
        <v>350</v>
      </c>
      <c r="L51" s="788">
        <f t="shared" si="8"/>
        <v>0.45</v>
      </c>
      <c r="M51" s="788">
        <f t="shared" si="9"/>
        <v>0.3</v>
      </c>
      <c r="N51" s="788">
        <f t="shared" si="10"/>
        <v>0.5</v>
      </c>
      <c r="P51" s="699" t="s">
        <v>87</v>
      </c>
      <c r="R51" s="785">
        <v>5</v>
      </c>
      <c r="S51" s="743">
        <v>4</v>
      </c>
      <c r="AP51" s="699" t="s">
        <v>87</v>
      </c>
    </row>
    <row r="52" spans="1:42" x14ac:dyDescent="0.2">
      <c r="A52" s="641" t="s">
        <v>780</v>
      </c>
      <c r="B52" s="169">
        <v>13</v>
      </c>
      <c r="C52" s="285" t="str">
        <f t="shared" si="6"/>
        <v>-</v>
      </c>
      <c r="D52" s="739" t="str">
        <f t="shared" si="7"/>
        <v>-</v>
      </c>
      <c r="E52" s="137" t="s">
        <v>90</v>
      </c>
      <c r="F52" s="794" t="s">
        <v>90</v>
      </c>
      <c r="G52" s="137" t="s">
        <v>90</v>
      </c>
      <c r="H52" s="137" t="s">
        <v>90</v>
      </c>
      <c r="I52" s="794" t="s">
        <v>90</v>
      </c>
      <c r="J52" s="794" t="s">
        <v>90</v>
      </c>
      <c r="K52" s="786" t="s">
        <v>709</v>
      </c>
      <c r="L52" s="788">
        <f t="shared" si="8"/>
        <v>0.45</v>
      </c>
      <c r="M52" s="788">
        <f t="shared" si="9"/>
        <v>0.3</v>
      </c>
      <c r="N52" s="788">
        <f t="shared" si="10"/>
        <v>0.25</v>
      </c>
      <c r="P52" s="699" t="s">
        <v>87</v>
      </c>
      <c r="R52" s="785">
        <v>5</v>
      </c>
      <c r="S52" s="743">
        <v>4</v>
      </c>
      <c r="AP52" s="699" t="s">
        <v>87</v>
      </c>
    </row>
    <row r="53" spans="1:42" x14ac:dyDescent="0.2">
      <c r="A53" s="641" t="s">
        <v>781</v>
      </c>
      <c r="B53" s="169">
        <v>14</v>
      </c>
      <c r="C53" s="285" t="str">
        <f t="shared" si="6"/>
        <v>-</v>
      </c>
      <c r="D53" s="739" t="str">
        <f t="shared" si="7"/>
        <v>-</v>
      </c>
      <c r="E53" s="137" t="s">
        <v>90</v>
      </c>
      <c r="F53" s="794" t="s">
        <v>90</v>
      </c>
      <c r="G53" s="137" t="s">
        <v>90</v>
      </c>
      <c r="H53" s="137" t="s">
        <v>90</v>
      </c>
      <c r="I53" s="794" t="s">
        <v>90</v>
      </c>
      <c r="J53" s="794" t="s">
        <v>90</v>
      </c>
      <c r="K53" s="786" t="s">
        <v>350</v>
      </c>
      <c r="L53" s="788">
        <f t="shared" si="8"/>
        <v>0.5</v>
      </c>
      <c r="M53" s="788">
        <f t="shared" si="9"/>
        <v>0.35</v>
      </c>
      <c r="N53" s="788">
        <f t="shared" si="10"/>
        <v>0.5</v>
      </c>
      <c r="P53" s="699" t="s">
        <v>87</v>
      </c>
      <c r="R53" s="785">
        <v>6</v>
      </c>
      <c r="S53" s="743">
        <v>5</v>
      </c>
      <c r="AP53" s="699" t="s">
        <v>87</v>
      </c>
    </row>
    <row r="54" spans="1:42" x14ac:dyDescent="0.2">
      <c r="A54" s="641" t="s">
        <v>608</v>
      </c>
      <c r="B54" s="169">
        <v>15</v>
      </c>
      <c r="C54" s="285" t="str">
        <f t="shared" si="6"/>
        <v>-</v>
      </c>
      <c r="D54" s="739" t="str">
        <f t="shared" si="7"/>
        <v>-</v>
      </c>
      <c r="E54" s="137" t="s">
        <v>90</v>
      </c>
      <c r="F54" s="794" t="s">
        <v>90</v>
      </c>
      <c r="G54" s="137" t="s">
        <v>90</v>
      </c>
      <c r="H54" s="137" t="s">
        <v>90</v>
      </c>
      <c r="I54" s="794" t="s">
        <v>90</v>
      </c>
      <c r="J54" s="794" t="s">
        <v>90</v>
      </c>
      <c r="K54" s="786" t="s">
        <v>710</v>
      </c>
      <c r="L54" s="788">
        <f t="shared" si="8"/>
        <v>0.5</v>
      </c>
      <c r="M54" s="788">
        <f t="shared" si="9"/>
        <v>0.35</v>
      </c>
      <c r="N54" s="788">
        <f t="shared" si="10"/>
        <v>0.75</v>
      </c>
      <c r="P54" s="699" t="s">
        <v>87</v>
      </c>
      <c r="R54" s="785">
        <v>6</v>
      </c>
      <c r="S54" s="743">
        <v>5</v>
      </c>
      <c r="AP54" s="699" t="s">
        <v>87</v>
      </c>
    </row>
    <row r="55" spans="1:42" x14ac:dyDescent="0.2">
      <c r="A55" s="641" t="s">
        <v>782</v>
      </c>
      <c r="B55" s="169">
        <v>16</v>
      </c>
      <c r="C55" s="285" t="str">
        <f t="shared" si="6"/>
        <v>-</v>
      </c>
      <c r="D55" s="739" t="str">
        <f t="shared" si="7"/>
        <v>-</v>
      </c>
      <c r="E55" s="137" t="s">
        <v>90</v>
      </c>
      <c r="F55" s="794" t="s">
        <v>90</v>
      </c>
      <c r="G55" s="137" t="s">
        <v>90</v>
      </c>
      <c r="H55" s="137" t="s">
        <v>90</v>
      </c>
      <c r="I55" s="794" t="s">
        <v>90</v>
      </c>
      <c r="J55" s="794" t="s">
        <v>90</v>
      </c>
      <c r="K55" s="786" t="s">
        <v>706</v>
      </c>
      <c r="L55" s="788">
        <f t="shared" si="8"/>
        <v>0.45</v>
      </c>
      <c r="M55" s="788">
        <f t="shared" si="9"/>
        <v>0.3</v>
      </c>
      <c r="N55" s="788">
        <f t="shared" si="10"/>
        <v>0.75</v>
      </c>
      <c r="P55" s="699" t="s">
        <v>87</v>
      </c>
      <c r="R55" s="785">
        <v>5</v>
      </c>
      <c r="S55" s="743">
        <v>4</v>
      </c>
      <c r="AP55" s="699" t="s">
        <v>87</v>
      </c>
    </row>
    <row r="56" spans="1:42" x14ac:dyDescent="0.2">
      <c r="A56" s="641" t="s">
        <v>783</v>
      </c>
      <c r="B56" s="169">
        <v>17</v>
      </c>
      <c r="C56" s="285" t="str">
        <f t="shared" si="6"/>
        <v>-</v>
      </c>
      <c r="D56" s="739" t="str">
        <f t="shared" si="7"/>
        <v>-</v>
      </c>
      <c r="E56" s="137" t="s">
        <v>90</v>
      </c>
      <c r="F56" s="794" t="s">
        <v>90</v>
      </c>
      <c r="G56" s="137" t="s">
        <v>90</v>
      </c>
      <c r="H56" s="137" t="s">
        <v>90</v>
      </c>
      <c r="I56" s="794" t="s">
        <v>90</v>
      </c>
      <c r="J56" s="794" t="s">
        <v>90</v>
      </c>
      <c r="K56" s="786" t="s">
        <v>707</v>
      </c>
      <c r="L56" s="788">
        <f t="shared" si="8"/>
        <v>0.45</v>
      </c>
      <c r="M56" s="788">
        <f t="shared" si="9"/>
        <v>0.3</v>
      </c>
      <c r="N56" s="788">
        <f t="shared" si="10"/>
        <v>0.75</v>
      </c>
      <c r="P56" s="699" t="s">
        <v>87</v>
      </c>
      <c r="R56" s="785">
        <v>5</v>
      </c>
      <c r="S56" s="743">
        <v>4</v>
      </c>
      <c r="AP56" s="699" t="s">
        <v>87</v>
      </c>
    </row>
    <row r="57" spans="1:42" x14ac:dyDescent="0.2">
      <c r="A57" s="641" t="s">
        <v>784</v>
      </c>
      <c r="B57" s="169">
        <v>18</v>
      </c>
      <c r="C57" s="285" t="str">
        <f t="shared" si="6"/>
        <v>-</v>
      </c>
      <c r="D57" s="739" t="str">
        <f t="shared" si="7"/>
        <v>-</v>
      </c>
      <c r="E57" s="137" t="s">
        <v>90</v>
      </c>
      <c r="F57" s="794" t="s">
        <v>90</v>
      </c>
      <c r="G57" s="137" t="s">
        <v>90</v>
      </c>
      <c r="H57" s="137" t="s">
        <v>90</v>
      </c>
      <c r="I57" s="794" t="s">
        <v>90</v>
      </c>
      <c r="J57" s="794" t="s">
        <v>90</v>
      </c>
      <c r="K57" s="786" t="s">
        <v>710</v>
      </c>
      <c r="L57" s="788">
        <f t="shared" si="8"/>
        <v>0.35</v>
      </c>
      <c r="M57" s="788">
        <f t="shared" si="9"/>
        <v>0.25</v>
      </c>
      <c r="N57" s="788">
        <f t="shared" si="10"/>
        <v>0.75</v>
      </c>
      <c r="P57" s="699" t="s">
        <v>87</v>
      </c>
      <c r="R57" s="785">
        <v>4</v>
      </c>
      <c r="S57" s="743">
        <v>3</v>
      </c>
      <c r="AP57" s="699" t="s">
        <v>87</v>
      </c>
    </row>
    <row r="58" spans="1:42" x14ac:dyDescent="0.2">
      <c r="A58" s="641" t="s">
        <v>785</v>
      </c>
      <c r="B58" s="169">
        <v>19</v>
      </c>
      <c r="C58" s="285" t="str">
        <f t="shared" si="6"/>
        <v>-</v>
      </c>
      <c r="D58" s="739" t="str">
        <f t="shared" si="7"/>
        <v>-</v>
      </c>
      <c r="E58" s="137" t="s">
        <v>90</v>
      </c>
      <c r="F58" s="794" t="s">
        <v>90</v>
      </c>
      <c r="G58" s="137" t="s">
        <v>90</v>
      </c>
      <c r="H58" s="137" t="s">
        <v>90</v>
      </c>
      <c r="I58" s="794" t="s">
        <v>90</v>
      </c>
      <c r="J58" s="794" t="s">
        <v>90</v>
      </c>
      <c r="K58" s="786" t="s">
        <v>709</v>
      </c>
      <c r="L58" s="788">
        <f t="shared" si="8"/>
        <v>0.45</v>
      </c>
      <c r="M58" s="788">
        <f t="shared" si="9"/>
        <v>0.3</v>
      </c>
      <c r="N58" s="788">
        <f t="shared" si="10"/>
        <v>0.25</v>
      </c>
      <c r="P58" s="699" t="s">
        <v>87</v>
      </c>
      <c r="R58" s="785">
        <v>5</v>
      </c>
      <c r="S58" s="743">
        <v>4</v>
      </c>
      <c r="AP58" s="699" t="s">
        <v>87</v>
      </c>
    </row>
    <row r="59" spans="1:42" x14ac:dyDescent="0.2">
      <c r="A59" s="641" t="s">
        <v>786</v>
      </c>
      <c r="B59" s="169">
        <v>20</v>
      </c>
      <c r="C59" s="285" t="str">
        <f t="shared" si="6"/>
        <v>-</v>
      </c>
      <c r="D59" s="739" t="str">
        <f t="shared" si="7"/>
        <v>-</v>
      </c>
      <c r="E59" s="137" t="s">
        <v>90</v>
      </c>
      <c r="F59" s="794" t="s">
        <v>90</v>
      </c>
      <c r="G59" s="137" t="s">
        <v>90</v>
      </c>
      <c r="H59" s="137" t="s">
        <v>90</v>
      </c>
      <c r="I59" s="794" t="s">
        <v>90</v>
      </c>
      <c r="J59" s="794" t="s">
        <v>90</v>
      </c>
      <c r="K59" s="786" t="s">
        <v>350</v>
      </c>
      <c r="L59" s="788">
        <f t="shared" si="8"/>
        <v>0.45</v>
      </c>
      <c r="M59" s="788">
        <f t="shared" si="9"/>
        <v>0.3</v>
      </c>
      <c r="N59" s="788">
        <f t="shared" si="10"/>
        <v>0.5</v>
      </c>
      <c r="P59" s="699" t="s">
        <v>87</v>
      </c>
      <c r="R59" s="785">
        <v>5</v>
      </c>
      <c r="S59" s="743">
        <v>4</v>
      </c>
      <c r="AP59" s="699" t="s">
        <v>87</v>
      </c>
    </row>
    <row r="60" spans="1:42" x14ac:dyDescent="0.2">
      <c r="A60" s="97" t="s">
        <v>787</v>
      </c>
      <c r="B60" s="162">
        <v>21</v>
      </c>
      <c r="C60" s="153" t="str">
        <f t="shared" si="6"/>
        <v>-</v>
      </c>
      <c r="D60" s="756" t="str">
        <f t="shared" si="7"/>
        <v>-</v>
      </c>
      <c r="E60" s="139" t="s">
        <v>90</v>
      </c>
      <c r="F60" s="796" t="s">
        <v>90</v>
      </c>
      <c r="G60" s="139" t="s">
        <v>90</v>
      </c>
      <c r="H60" s="139" t="s">
        <v>90</v>
      </c>
      <c r="I60" s="796" t="s">
        <v>90</v>
      </c>
      <c r="J60" s="796" t="s">
        <v>90</v>
      </c>
      <c r="K60" s="789" t="s">
        <v>350</v>
      </c>
      <c r="L60" s="791">
        <f t="shared" si="8"/>
        <v>0.45</v>
      </c>
      <c r="M60" s="791">
        <f t="shared" si="9"/>
        <v>0.35</v>
      </c>
      <c r="N60" s="791">
        <f t="shared" si="10"/>
        <v>0.5</v>
      </c>
      <c r="P60" s="699" t="s">
        <v>87</v>
      </c>
      <c r="R60" s="792">
        <v>5</v>
      </c>
      <c r="S60" s="762">
        <v>5</v>
      </c>
      <c r="AP60" s="699" t="s">
        <v>87</v>
      </c>
    </row>
    <row r="61" spans="1:42" x14ac:dyDescent="0.2">
      <c r="P61" s="699" t="s">
        <v>87</v>
      </c>
      <c r="AP61" s="699" t="s">
        <v>87</v>
      </c>
    </row>
    <row r="62" spans="1:42" ht="14.25" x14ac:dyDescent="0.2">
      <c r="A62" s="793" t="str">
        <f>$A$17</f>
        <v>Detailed information for</v>
      </c>
      <c r="B62" s="764"/>
      <c r="C62" s="765" t="s">
        <v>731</v>
      </c>
      <c r="D62" s="766" t="s">
        <v>732</v>
      </c>
      <c r="E62" s="767"/>
      <c r="F62" s="767"/>
      <c r="G62" s="768"/>
      <c r="H62" s="769" t="s">
        <v>733</v>
      </c>
      <c r="I62" s="770"/>
      <c r="J62" s="770"/>
      <c r="K62" s="771" t="s">
        <v>33</v>
      </c>
      <c r="L62" s="772" t="s">
        <v>734</v>
      </c>
      <c r="M62" s="770"/>
      <c r="N62" s="770"/>
      <c r="P62" s="699" t="s">
        <v>87</v>
      </c>
      <c r="R62" s="773" t="s">
        <v>735</v>
      </c>
      <c r="S62" s="770"/>
      <c r="AP62" s="699" t="s">
        <v>87</v>
      </c>
    </row>
    <row r="63" spans="1:42" ht="15" x14ac:dyDescent="0.25">
      <c r="A63" s="774" t="s">
        <v>788</v>
      </c>
      <c r="B63" s="775"/>
      <c r="C63" s="776" t="s">
        <v>736</v>
      </c>
      <c r="D63" s="777" t="s">
        <v>173</v>
      </c>
      <c r="E63" s="777" t="s">
        <v>737</v>
      </c>
      <c r="F63" s="777" t="s">
        <v>738</v>
      </c>
      <c r="G63" s="777" t="s">
        <v>739</v>
      </c>
      <c r="H63" s="777" t="s">
        <v>737</v>
      </c>
      <c r="I63" s="777" t="s">
        <v>738</v>
      </c>
      <c r="J63" s="777" t="s">
        <v>740</v>
      </c>
      <c r="K63" s="778" t="s">
        <v>8</v>
      </c>
      <c r="L63" s="779" t="s">
        <v>741</v>
      </c>
      <c r="M63" s="779" t="s">
        <v>742</v>
      </c>
      <c r="N63" s="780" t="s">
        <v>743</v>
      </c>
      <c r="P63" s="699" t="s">
        <v>87</v>
      </c>
      <c r="R63" s="777" t="s">
        <v>744</v>
      </c>
      <c r="S63" s="777" t="s">
        <v>745</v>
      </c>
      <c r="AP63" s="699" t="s">
        <v>87</v>
      </c>
    </row>
    <row r="64" spans="1:42" ht="14.25" x14ac:dyDescent="0.2">
      <c r="A64" s="662"/>
      <c r="B64" s="104">
        <v>157</v>
      </c>
      <c r="C64" s="167" t="s">
        <v>746</v>
      </c>
      <c r="D64" s="167" t="s">
        <v>747</v>
      </c>
      <c r="E64" s="167">
        <v>3</v>
      </c>
      <c r="F64" s="167">
        <v>4</v>
      </c>
      <c r="G64" s="167">
        <v>5</v>
      </c>
      <c r="H64" s="167">
        <v>6</v>
      </c>
      <c r="I64" s="167">
        <v>7</v>
      </c>
      <c r="J64" s="167">
        <v>8</v>
      </c>
      <c r="K64" s="167"/>
      <c r="L64" s="167"/>
      <c r="M64" s="167"/>
      <c r="N64" s="214"/>
      <c r="P64" s="699" t="s">
        <v>87</v>
      </c>
      <c r="R64" s="781"/>
      <c r="S64" s="106"/>
      <c r="AP64" s="699" t="s">
        <v>87</v>
      </c>
    </row>
    <row r="65" spans="1:42" x14ac:dyDescent="0.2">
      <c r="A65" s="641" t="s">
        <v>789</v>
      </c>
      <c r="B65" s="169">
        <v>1</v>
      </c>
      <c r="C65" s="285" t="str">
        <f t="shared" ref="C65:C85" si="11">IF(OR(D65&lt;&gt;"-",I65&lt;&gt;"-"),SQRT(PRODUCT(L65,SUM(D65))^2+PRODUCT(M65,SUM(I65))^2+2*PRODUCT(N65,L65,SUM(D65),M65,SUM(I65))),"-")</f>
        <v>-</v>
      </c>
      <c r="D65" s="739" t="str">
        <f t="shared" ref="D65:D85" si="12">IF(OR(F65&lt;&gt;"-",G65&lt;&gt;"-"),MAX(SUM(F65),SUM(G65)),"-")</f>
        <v>-</v>
      </c>
      <c r="E65" s="149" t="s">
        <v>90</v>
      </c>
      <c r="F65" s="797" t="s">
        <v>90</v>
      </c>
      <c r="G65" s="149" t="s">
        <v>90</v>
      </c>
      <c r="H65" s="137" t="s">
        <v>90</v>
      </c>
      <c r="I65" s="794" t="s">
        <v>90</v>
      </c>
      <c r="J65" s="794" t="s">
        <v>90</v>
      </c>
      <c r="K65" s="786" t="s">
        <v>709</v>
      </c>
      <c r="L65" s="788">
        <f t="shared" ref="L65:L85" si="13">IFERROR(INDEX(ICS.NL.Buckets.P,R65),"-")</f>
        <v>0.15</v>
      </c>
      <c r="M65" s="788">
        <f t="shared" ref="M65:M85" si="14">IFERROR(INDEX(ICS.NL.Buckets.R,S65),"-")</f>
        <v>0.1</v>
      </c>
      <c r="N65" s="788">
        <f t="shared" ref="N65:N85" si="15">IFERROR(INDEX(ICS.NL.Corr.P_R,MATCH(K65,ICS.NL.CategMapping,0)),1)</f>
        <v>0.25</v>
      </c>
      <c r="P65" s="699" t="s">
        <v>87</v>
      </c>
      <c r="R65" s="785">
        <v>1</v>
      </c>
      <c r="S65" s="743">
        <v>1</v>
      </c>
      <c r="AP65" s="699" t="s">
        <v>87</v>
      </c>
    </row>
    <row r="66" spans="1:42" x14ac:dyDescent="0.2">
      <c r="A66" s="641" t="s">
        <v>790</v>
      </c>
      <c r="B66" s="169">
        <v>2</v>
      </c>
      <c r="C66" s="285" t="str">
        <f t="shared" si="11"/>
        <v>-</v>
      </c>
      <c r="D66" s="739" t="str">
        <f t="shared" si="12"/>
        <v>-</v>
      </c>
      <c r="E66" s="137" t="s">
        <v>90</v>
      </c>
      <c r="F66" s="794" t="s">
        <v>90</v>
      </c>
      <c r="G66" s="137" t="s">
        <v>90</v>
      </c>
      <c r="H66" s="137" t="s">
        <v>90</v>
      </c>
      <c r="I66" s="794" t="s">
        <v>90</v>
      </c>
      <c r="J66" s="794" t="s">
        <v>90</v>
      </c>
      <c r="K66" s="786" t="s">
        <v>709</v>
      </c>
      <c r="L66" s="788">
        <f t="shared" si="13"/>
        <v>0.25</v>
      </c>
      <c r="M66" s="788">
        <f t="shared" si="14"/>
        <v>0.25</v>
      </c>
      <c r="N66" s="788">
        <f t="shared" si="15"/>
        <v>0.25</v>
      </c>
      <c r="P66" s="699" t="s">
        <v>87</v>
      </c>
      <c r="R66" s="785">
        <v>2</v>
      </c>
      <c r="S66" s="743">
        <v>3</v>
      </c>
      <c r="AP66" s="699" t="s">
        <v>87</v>
      </c>
    </row>
    <row r="67" spans="1:42" x14ac:dyDescent="0.2">
      <c r="A67" s="641" t="s">
        <v>791</v>
      </c>
      <c r="B67" s="169">
        <v>3</v>
      </c>
      <c r="C67" s="285" t="str">
        <f t="shared" si="11"/>
        <v>-</v>
      </c>
      <c r="D67" s="739" t="str">
        <f t="shared" si="12"/>
        <v>-</v>
      </c>
      <c r="E67" s="137" t="s">
        <v>90</v>
      </c>
      <c r="F67" s="794" t="s">
        <v>90</v>
      </c>
      <c r="G67" s="137" t="s">
        <v>90</v>
      </c>
      <c r="H67" s="137" t="s">
        <v>90</v>
      </c>
      <c r="I67" s="794" t="s">
        <v>90</v>
      </c>
      <c r="J67" s="794" t="s">
        <v>90</v>
      </c>
      <c r="K67" s="786" t="s">
        <v>709</v>
      </c>
      <c r="L67" s="788">
        <f t="shared" si="13"/>
        <v>0.35</v>
      </c>
      <c r="M67" s="788">
        <f t="shared" si="14"/>
        <v>0.25</v>
      </c>
      <c r="N67" s="788">
        <f t="shared" si="15"/>
        <v>0.25</v>
      </c>
      <c r="P67" s="699" t="s">
        <v>87</v>
      </c>
      <c r="R67" s="785">
        <v>4</v>
      </c>
      <c r="S67" s="743">
        <v>3</v>
      </c>
      <c r="AP67" s="699" t="s">
        <v>87</v>
      </c>
    </row>
    <row r="68" spans="1:42" x14ac:dyDescent="0.2">
      <c r="A68" s="641" t="s">
        <v>792</v>
      </c>
      <c r="B68" s="169">
        <v>4</v>
      </c>
      <c r="C68" s="285" t="str">
        <f t="shared" si="11"/>
        <v>-</v>
      </c>
      <c r="D68" s="739" t="str">
        <f t="shared" si="12"/>
        <v>-</v>
      </c>
      <c r="E68" s="137" t="s">
        <v>90</v>
      </c>
      <c r="F68" s="794" t="s">
        <v>90</v>
      </c>
      <c r="G68" s="137" t="s">
        <v>90</v>
      </c>
      <c r="H68" s="137" t="s">
        <v>90</v>
      </c>
      <c r="I68" s="794" t="s">
        <v>90</v>
      </c>
      <c r="J68" s="794" t="s">
        <v>90</v>
      </c>
      <c r="K68" s="786" t="s">
        <v>710</v>
      </c>
      <c r="L68" s="788">
        <f t="shared" si="13"/>
        <v>0.25</v>
      </c>
      <c r="M68" s="788">
        <f t="shared" si="14"/>
        <v>0.2</v>
      </c>
      <c r="N68" s="788">
        <f t="shared" si="15"/>
        <v>0.75</v>
      </c>
      <c r="P68" s="699" t="s">
        <v>87</v>
      </c>
      <c r="R68" s="785">
        <v>2</v>
      </c>
      <c r="S68" s="743">
        <v>2</v>
      </c>
      <c r="AP68" s="699" t="s">
        <v>87</v>
      </c>
    </row>
    <row r="69" spans="1:42" x14ac:dyDescent="0.2">
      <c r="A69" s="641" t="s">
        <v>793</v>
      </c>
      <c r="B69" s="169">
        <v>5</v>
      </c>
      <c r="C69" s="285" t="str">
        <f t="shared" si="11"/>
        <v>-</v>
      </c>
      <c r="D69" s="739" t="str">
        <f t="shared" si="12"/>
        <v>-</v>
      </c>
      <c r="E69" s="137" t="s">
        <v>90</v>
      </c>
      <c r="F69" s="794" t="s">
        <v>90</v>
      </c>
      <c r="G69" s="137" t="s">
        <v>90</v>
      </c>
      <c r="H69" s="137" t="s">
        <v>90</v>
      </c>
      <c r="I69" s="794" t="s">
        <v>90</v>
      </c>
      <c r="J69" s="794" t="s">
        <v>90</v>
      </c>
      <c r="K69" s="786" t="s">
        <v>710</v>
      </c>
      <c r="L69" s="788">
        <f t="shared" si="13"/>
        <v>0.3</v>
      </c>
      <c r="M69" s="788">
        <f t="shared" si="14"/>
        <v>0.2</v>
      </c>
      <c r="N69" s="788">
        <f t="shared" si="15"/>
        <v>0.75</v>
      </c>
      <c r="P69" s="699" t="s">
        <v>87</v>
      </c>
      <c r="R69" s="785">
        <v>3</v>
      </c>
      <c r="S69" s="743">
        <v>2</v>
      </c>
      <c r="AP69" s="699" t="s">
        <v>87</v>
      </c>
    </row>
    <row r="70" spans="1:42" x14ac:dyDescent="0.2">
      <c r="A70" s="641" t="s">
        <v>794</v>
      </c>
      <c r="B70" s="169">
        <v>6</v>
      </c>
      <c r="C70" s="285" t="str">
        <f t="shared" si="11"/>
        <v>-</v>
      </c>
      <c r="D70" s="739" t="str">
        <f t="shared" si="12"/>
        <v>-</v>
      </c>
      <c r="E70" s="137" t="s">
        <v>90</v>
      </c>
      <c r="F70" s="794" t="s">
        <v>90</v>
      </c>
      <c r="G70" s="137" t="s">
        <v>90</v>
      </c>
      <c r="H70" s="137" t="s">
        <v>90</v>
      </c>
      <c r="I70" s="794" t="s">
        <v>90</v>
      </c>
      <c r="J70" s="794" t="s">
        <v>90</v>
      </c>
      <c r="K70" s="786" t="s">
        <v>710</v>
      </c>
      <c r="L70" s="788">
        <f t="shared" si="13"/>
        <v>0.3</v>
      </c>
      <c r="M70" s="788">
        <f t="shared" si="14"/>
        <v>0.2</v>
      </c>
      <c r="N70" s="788">
        <f t="shared" si="15"/>
        <v>0.75</v>
      </c>
      <c r="P70" s="699" t="s">
        <v>87</v>
      </c>
      <c r="R70" s="785">
        <v>3</v>
      </c>
      <c r="S70" s="743">
        <v>2</v>
      </c>
      <c r="AP70" s="699" t="s">
        <v>87</v>
      </c>
    </row>
    <row r="71" spans="1:42" x14ac:dyDescent="0.2">
      <c r="A71" s="641" t="s">
        <v>795</v>
      </c>
      <c r="B71" s="169">
        <v>7</v>
      </c>
      <c r="C71" s="285" t="str">
        <f t="shared" si="11"/>
        <v>-</v>
      </c>
      <c r="D71" s="739" t="str">
        <f t="shared" si="12"/>
        <v>-</v>
      </c>
      <c r="E71" s="137" t="s">
        <v>90</v>
      </c>
      <c r="F71" s="794" t="s">
        <v>90</v>
      </c>
      <c r="G71" s="137" t="s">
        <v>90</v>
      </c>
      <c r="H71" s="137" t="s">
        <v>90</v>
      </c>
      <c r="I71" s="794" t="s">
        <v>90</v>
      </c>
      <c r="J71" s="794" t="s">
        <v>90</v>
      </c>
      <c r="K71" s="786" t="s">
        <v>710</v>
      </c>
      <c r="L71" s="788">
        <f t="shared" si="13"/>
        <v>0.15</v>
      </c>
      <c r="M71" s="788">
        <f t="shared" si="14"/>
        <v>0.35</v>
      </c>
      <c r="N71" s="788">
        <f t="shared" si="15"/>
        <v>0.75</v>
      </c>
      <c r="P71" s="699" t="s">
        <v>87</v>
      </c>
      <c r="R71" s="785">
        <v>1</v>
      </c>
      <c r="S71" s="743">
        <v>5</v>
      </c>
      <c r="AP71" s="699" t="s">
        <v>87</v>
      </c>
    </row>
    <row r="72" spans="1:42" x14ac:dyDescent="0.2">
      <c r="A72" s="641" t="s">
        <v>796</v>
      </c>
      <c r="B72" s="169">
        <v>8</v>
      </c>
      <c r="C72" s="285" t="str">
        <f t="shared" si="11"/>
        <v>-</v>
      </c>
      <c r="D72" s="739" t="str">
        <f t="shared" si="12"/>
        <v>-</v>
      </c>
      <c r="E72" s="137" t="s">
        <v>90</v>
      </c>
      <c r="F72" s="794" t="s">
        <v>90</v>
      </c>
      <c r="G72" s="137" t="s">
        <v>90</v>
      </c>
      <c r="H72" s="137" t="s">
        <v>90</v>
      </c>
      <c r="I72" s="794" t="s">
        <v>90</v>
      </c>
      <c r="J72" s="794" t="s">
        <v>90</v>
      </c>
      <c r="K72" s="786" t="s">
        <v>709</v>
      </c>
      <c r="L72" s="788">
        <f t="shared" si="13"/>
        <v>0.25</v>
      </c>
      <c r="M72" s="788">
        <f t="shared" si="14"/>
        <v>0.35</v>
      </c>
      <c r="N72" s="788">
        <f t="shared" si="15"/>
        <v>0.25</v>
      </c>
      <c r="P72" s="699" t="s">
        <v>87</v>
      </c>
      <c r="R72" s="785">
        <v>2</v>
      </c>
      <c r="S72" s="743">
        <v>5</v>
      </c>
      <c r="AP72" s="699" t="s">
        <v>87</v>
      </c>
    </row>
    <row r="73" spans="1:42" x14ac:dyDescent="0.2">
      <c r="A73" s="641" t="s">
        <v>797</v>
      </c>
      <c r="B73" s="169">
        <v>9</v>
      </c>
      <c r="C73" s="285" t="str">
        <f t="shared" si="11"/>
        <v>-</v>
      </c>
      <c r="D73" s="739" t="str">
        <f t="shared" si="12"/>
        <v>-</v>
      </c>
      <c r="E73" s="137" t="s">
        <v>90</v>
      </c>
      <c r="F73" s="794" t="s">
        <v>90</v>
      </c>
      <c r="G73" s="137" t="s">
        <v>90</v>
      </c>
      <c r="H73" s="137" t="s">
        <v>90</v>
      </c>
      <c r="I73" s="794" t="s">
        <v>90</v>
      </c>
      <c r="J73" s="794" t="s">
        <v>90</v>
      </c>
      <c r="K73" s="786" t="s">
        <v>710</v>
      </c>
      <c r="L73" s="788">
        <f t="shared" si="13"/>
        <v>0.35</v>
      </c>
      <c r="M73" s="788">
        <f t="shared" si="14"/>
        <v>0.3</v>
      </c>
      <c r="N73" s="788">
        <f t="shared" si="15"/>
        <v>0.75</v>
      </c>
      <c r="P73" s="699" t="s">
        <v>87</v>
      </c>
      <c r="R73" s="785">
        <v>4</v>
      </c>
      <c r="S73" s="743">
        <v>4</v>
      </c>
      <c r="AP73" s="699" t="s">
        <v>87</v>
      </c>
    </row>
    <row r="74" spans="1:42" x14ac:dyDescent="0.2">
      <c r="A74" s="641" t="s">
        <v>798</v>
      </c>
      <c r="B74" s="169">
        <v>10</v>
      </c>
      <c r="C74" s="285" t="str">
        <f t="shared" si="11"/>
        <v>-</v>
      </c>
      <c r="D74" s="739" t="str">
        <f t="shared" si="12"/>
        <v>-</v>
      </c>
      <c r="E74" s="137" t="s">
        <v>90</v>
      </c>
      <c r="F74" s="794" t="s">
        <v>90</v>
      </c>
      <c r="G74" s="137" t="s">
        <v>90</v>
      </c>
      <c r="H74" s="137" t="s">
        <v>90</v>
      </c>
      <c r="I74" s="794" t="s">
        <v>90</v>
      </c>
      <c r="J74" s="794" t="s">
        <v>90</v>
      </c>
      <c r="K74" s="786" t="s">
        <v>710</v>
      </c>
      <c r="L74" s="788">
        <f t="shared" si="13"/>
        <v>0.3</v>
      </c>
      <c r="M74" s="788">
        <f t="shared" si="14"/>
        <v>0.4</v>
      </c>
      <c r="N74" s="788">
        <f t="shared" si="15"/>
        <v>0.75</v>
      </c>
      <c r="P74" s="699" t="s">
        <v>87</v>
      </c>
      <c r="R74" s="785">
        <v>3</v>
      </c>
      <c r="S74" s="743">
        <v>6</v>
      </c>
      <c r="AP74" s="699" t="s">
        <v>87</v>
      </c>
    </row>
    <row r="75" spans="1:42" x14ac:dyDescent="0.2">
      <c r="A75" s="641" t="s">
        <v>799</v>
      </c>
      <c r="B75" s="169">
        <v>11</v>
      </c>
      <c r="C75" s="285" t="str">
        <f t="shared" si="11"/>
        <v>-</v>
      </c>
      <c r="D75" s="739" t="str">
        <f t="shared" si="12"/>
        <v>-</v>
      </c>
      <c r="E75" s="137" t="s">
        <v>90</v>
      </c>
      <c r="F75" s="794" t="s">
        <v>90</v>
      </c>
      <c r="G75" s="137" t="s">
        <v>90</v>
      </c>
      <c r="H75" s="137" t="s">
        <v>90</v>
      </c>
      <c r="I75" s="794" t="s">
        <v>90</v>
      </c>
      <c r="J75" s="794" t="s">
        <v>90</v>
      </c>
      <c r="K75" s="786" t="s">
        <v>710</v>
      </c>
      <c r="L75" s="788">
        <f t="shared" si="13"/>
        <v>0.3</v>
      </c>
      <c r="M75" s="788">
        <f t="shared" si="14"/>
        <v>0.4</v>
      </c>
      <c r="N75" s="788">
        <f t="shared" si="15"/>
        <v>0.75</v>
      </c>
      <c r="P75" s="699" t="s">
        <v>87</v>
      </c>
      <c r="R75" s="785">
        <v>3</v>
      </c>
      <c r="S75" s="743">
        <v>6</v>
      </c>
      <c r="AP75" s="699" t="s">
        <v>87</v>
      </c>
    </row>
    <row r="76" spans="1:42" x14ac:dyDescent="0.2">
      <c r="A76" s="641" t="s">
        <v>800</v>
      </c>
      <c r="B76" s="169">
        <v>12</v>
      </c>
      <c r="C76" s="285" t="str">
        <f t="shared" si="11"/>
        <v>-</v>
      </c>
      <c r="D76" s="739" t="str">
        <f t="shared" si="12"/>
        <v>-</v>
      </c>
      <c r="E76" s="137" t="s">
        <v>90</v>
      </c>
      <c r="F76" s="794" t="s">
        <v>90</v>
      </c>
      <c r="G76" s="137" t="s">
        <v>90</v>
      </c>
      <c r="H76" s="137" t="s">
        <v>90</v>
      </c>
      <c r="I76" s="794" t="s">
        <v>90</v>
      </c>
      <c r="J76" s="794" t="s">
        <v>90</v>
      </c>
      <c r="K76" s="786" t="s">
        <v>710</v>
      </c>
      <c r="L76" s="788">
        <f t="shared" si="13"/>
        <v>0.35</v>
      </c>
      <c r="M76" s="788">
        <f t="shared" si="14"/>
        <v>0.5</v>
      </c>
      <c r="N76" s="788">
        <f t="shared" si="15"/>
        <v>0.75</v>
      </c>
      <c r="P76" s="699" t="s">
        <v>87</v>
      </c>
      <c r="R76" s="785">
        <v>4</v>
      </c>
      <c r="S76" s="743">
        <v>8</v>
      </c>
      <c r="AP76" s="699" t="s">
        <v>87</v>
      </c>
    </row>
    <row r="77" spans="1:42" x14ac:dyDescent="0.2">
      <c r="A77" s="641" t="s">
        <v>801</v>
      </c>
      <c r="B77" s="169">
        <v>13</v>
      </c>
      <c r="C77" s="285" t="str">
        <f t="shared" si="11"/>
        <v>-</v>
      </c>
      <c r="D77" s="739" t="str">
        <f t="shared" si="12"/>
        <v>-</v>
      </c>
      <c r="E77" s="137" t="s">
        <v>90</v>
      </c>
      <c r="F77" s="794" t="s">
        <v>90</v>
      </c>
      <c r="G77" s="137" t="s">
        <v>90</v>
      </c>
      <c r="H77" s="137" t="s">
        <v>90</v>
      </c>
      <c r="I77" s="794" t="s">
        <v>90</v>
      </c>
      <c r="J77" s="794" t="s">
        <v>90</v>
      </c>
      <c r="K77" s="786" t="s">
        <v>709</v>
      </c>
      <c r="L77" s="788">
        <f t="shared" si="13"/>
        <v>0.35</v>
      </c>
      <c r="M77" s="788">
        <f t="shared" si="14"/>
        <v>0.3</v>
      </c>
      <c r="N77" s="788">
        <f t="shared" si="15"/>
        <v>0.25</v>
      </c>
      <c r="P77" s="699" t="s">
        <v>87</v>
      </c>
      <c r="R77" s="785">
        <v>4</v>
      </c>
      <c r="S77" s="743">
        <v>4</v>
      </c>
      <c r="AP77" s="699" t="s">
        <v>87</v>
      </c>
    </row>
    <row r="78" spans="1:42" x14ac:dyDescent="0.2">
      <c r="A78" s="641" t="s">
        <v>802</v>
      </c>
      <c r="B78" s="169">
        <v>14</v>
      </c>
      <c r="C78" s="285" t="str">
        <f t="shared" si="11"/>
        <v>-</v>
      </c>
      <c r="D78" s="739" t="str">
        <f t="shared" si="12"/>
        <v>-</v>
      </c>
      <c r="E78" s="137" t="s">
        <v>90</v>
      </c>
      <c r="F78" s="794" t="s">
        <v>90</v>
      </c>
      <c r="G78" s="137" t="s">
        <v>90</v>
      </c>
      <c r="H78" s="137" t="s">
        <v>90</v>
      </c>
      <c r="I78" s="794" t="s">
        <v>90</v>
      </c>
      <c r="J78" s="794" t="s">
        <v>90</v>
      </c>
      <c r="K78" s="786" t="s">
        <v>710</v>
      </c>
      <c r="L78" s="788">
        <f t="shared" si="13"/>
        <v>0.45</v>
      </c>
      <c r="M78" s="788">
        <f t="shared" si="14"/>
        <v>0.5</v>
      </c>
      <c r="N78" s="788">
        <f t="shared" si="15"/>
        <v>0.75</v>
      </c>
      <c r="P78" s="699" t="s">
        <v>87</v>
      </c>
      <c r="R78" s="785">
        <v>5</v>
      </c>
      <c r="S78" s="743">
        <v>8</v>
      </c>
      <c r="AP78" s="699" t="s">
        <v>87</v>
      </c>
    </row>
    <row r="79" spans="1:42" x14ac:dyDescent="0.2">
      <c r="A79" s="641" t="s">
        <v>803</v>
      </c>
      <c r="B79" s="169">
        <v>15</v>
      </c>
      <c r="C79" s="285" t="str">
        <f t="shared" si="11"/>
        <v>-</v>
      </c>
      <c r="D79" s="739" t="str">
        <f t="shared" si="12"/>
        <v>-</v>
      </c>
      <c r="E79" s="137" t="s">
        <v>90</v>
      </c>
      <c r="F79" s="794" t="s">
        <v>90</v>
      </c>
      <c r="G79" s="137" t="s">
        <v>90</v>
      </c>
      <c r="H79" s="137" t="s">
        <v>90</v>
      </c>
      <c r="I79" s="794" t="s">
        <v>90</v>
      </c>
      <c r="J79" s="794" t="s">
        <v>90</v>
      </c>
      <c r="K79" s="786" t="s">
        <v>710</v>
      </c>
      <c r="L79" s="788">
        <f t="shared" si="13"/>
        <v>0.25</v>
      </c>
      <c r="M79" s="788">
        <f t="shared" si="14"/>
        <v>0.25</v>
      </c>
      <c r="N79" s="788">
        <f t="shared" si="15"/>
        <v>0.75</v>
      </c>
      <c r="P79" s="699" t="s">
        <v>87</v>
      </c>
      <c r="R79" s="785">
        <v>2</v>
      </c>
      <c r="S79" s="743">
        <v>3</v>
      </c>
      <c r="AP79" s="699" t="s">
        <v>87</v>
      </c>
    </row>
    <row r="80" spans="1:42" x14ac:dyDescent="0.2">
      <c r="A80" s="641" t="s">
        <v>204</v>
      </c>
      <c r="B80" s="169">
        <v>16</v>
      </c>
      <c r="C80" s="285" t="str">
        <f t="shared" si="11"/>
        <v>-</v>
      </c>
      <c r="D80" s="739" t="str">
        <f t="shared" si="12"/>
        <v>-</v>
      </c>
      <c r="E80" s="137" t="s">
        <v>90</v>
      </c>
      <c r="F80" s="794" t="s">
        <v>90</v>
      </c>
      <c r="G80" s="137" t="s">
        <v>90</v>
      </c>
      <c r="H80" s="137" t="s">
        <v>90</v>
      </c>
      <c r="I80" s="794" t="s">
        <v>90</v>
      </c>
      <c r="J80" s="794" t="s">
        <v>90</v>
      </c>
      <c r="K80" s="786" t="s">
        <v>706</v>
      </c>
      <c r="L80" s="788">
        <f t="shared" si="13"/>
        <v>0.5</v>
      </c>
      <c r="M80" s="788">
        <f t="shared" si="14"/>
        <v>0.3</v>
      </c>
      <c r="N80" s="788">
        <f t="shared" si="15"/>
        <v>0.75</v>
      </c>
      <c r="P80" s="699" t="s">
        <v>87</v>
      </c>
      <c r="R80" s="785">
        <v>6</v>
      </c>
      <c r="S80" s="743">
        <v>4</v>
      </c>
      <c r="AP80" s="699" t="s">
        <v>87</v>
      </c>
    </row>
    <row r="81" spans="1:43" x14ac:dyDescent="0.2">
      <c r="A81" s="641" t="s">
        <v>804</v>
      </c>
      <c r="B81" s="169">
        <v>17</v>
      </c>
      <c r="C81" s="285" t="str">
        <f t="shared" si="11"/>
        <v>-</v>
      </c>
      <c r="D81" s="739" t="str">
        <f t="shared" si="12"/>
        <v>-</v>
      </c>
      <c r="E81" s="137" t="s">
        <v>90</v>
      </c>
      <c r="F81" s="794" t="s">
        <v>90</v>
      </c>
      <c r="G81" s="137" t="s">
        <v>90</v>
      </c>
      <c r="H81" s="137" t="s">
        <v>90</v>
      </c>
      <c r="I81" s="794" t="s">
        <v>90</v>
      </c>
      <c r="J81" s="794" t="s">
        <v>90</v>
      </c>
      <c r="K81" s="786" t="s">
        <v>707</v>
      </c>
      <c r="L81" s="788">
        <f t="shared" si="13"/>
        <v>0.35</v>
      </c>
      <c r="M81" s="788">
        <f t="shared" si="14"/>
        <v>0.45</v>
      </c>
      <c r="N81" s="788">
        <f t="shared" si="15"/>
        <v>0.75</v>
      </c>
      <c r="P81" s="699" t="s">
        <v>87</v>
      </c>
      <c r="R81" s="785">
        <v>4</v>
      </c>
      <c r="S81" s="743">
        <v>7</v>
      </c>
      <c r="AP81" s="699" t="s">
        <v>87</v>
      </c>
    </row>
    <row r="82" spans="1:43" x14ac:dyDescent="0.2">
      <c r="A82" s="641" t="s">
        <v>805</v>
      </c>
      <c r="B82" s="169">
        <v>18</v>
      </c>
      <c r="C82" s="285" t="str">
        <f t="shared" si="11"/>
        <v>-</v>
      </c>
      <c r="D82" s="739" t="str">
        <f t="shared" si="12"/>
        <v>-</v>
      </c>
      <c r="E82" s="137" t="s">
        <v>90</v>
      </c>
      <c r="F82" s="794" t="s">
        <v>90</v>
      </c>
      <c r="G82" s="137" t="s">
        <v>90</v>
      </c>
      <c r="H82" s="137" t="s">
        <v>90</v>
      </c>
      <c r="I82" s="794" t="s">
        <v>90</v>
      </c>
      <c r="J82" s="794" t="s">
        <v>90</v>
      </c>
      <c r="K82" s="786" t="s">
        <v>707</v>
      </c>
      <c r="L82" s="788">
        <f t="shared" si="13"/>
        <v>0.5</v>
      </c>
      <c r="M82" s="788">
        <f t="shared" si="14"/>
        <v>0.3</v>
      </c>
      <c r="N82" s="788">
        <f t="shared" si="15"/>
        <v>0.75</v>
      </c>
      <c r="P82" s="699" t="s">
        <v>87</v>
      </c>
      <c r="R82" s="785">
        <v>6</v>
      </c>
      <c r="S82" s="743">
        <v>4</v>
      </c>
      <c r="AP82" s="699" t="s">
        <v>87</v>
      </c>
    </row>
    <row r="83" spans="1:43" x14ac:dyDescent="0.2">
      <c r="A83" s="641" t="s">
        <v>350</v>
      </c>
      <c r="B83" s="169">
        <v>19</v>
      </c>
      <c r="C83" s="285" t="str">
        <f t="shared" si="11"/>
        <v>-</v>
      </c>
      <c r="D83" s="739" t="str">
        <f t="shared" si="12"/>
        <v>-</v>
      </c>
      <c r="E83" s="137" t="s">
        <v>90</v>
      </c>
      <c r="F83" s="794" t="s">
        <v>90</v>
      </c>
      <c r="G83" s="137" t="s">
        <v>90</v>
      </c>
      <c r="H83" s="137" t="s">
        <v>90</v>
      </c>
      <c r="I83" s="794" t="s">
        <v>90</v>
      </c>
      <c r="J83" s="794" t="s">
        <v>90</v>
      </c>
      <c r="K83" s="786" t="s">
        <v>350</v>
      </c>
      <c r="L83" s="788">
        <f t="shared" si="13"/>
        <v>0.15</v>
      </c>
      <c r="M83" s="788">
        <f t="shared" si="14"/>
        <v>0.3</v>
      </c>
      <c r="N83" s="788">
        <f t="shared" si="15"/>
        <v>0.5</v>
      </c>
      <c r="P83" s="699" t="s">
        <v>87</v>
      </c>
      <c r="R83" s="785">
        <v>1</v>
      </c>
      <c r="S83" s="743">
        <v>4</v>
      </c>
      <c r="AP83" s="699" t="s">
        <v>87</v>
      </c>
    </row>
    <row r="84" spans="1:43" x14ac:dyDescent="0.2">
      <c r="A84" s="641" t="s">
        <v>290</v>
      </c>
      <c r="B84" s="169">
        <v>20</v>
      </c>
      <c r="C84" s="285" t="str">
        <f t="shared" si="11"/>
        <v>-</v>
      </c>
      <c r="D84" s="739" t="str">
        <f t="shared" si="12"/>
        <v>-</v>
      </c>
      <c r="E84" s="137" t="s">
        <v>90</v>
      </c>
      <c r="F84" s="794" t="s">
        <v>90</v>
      </c>
      <c r="G84" s="137" t="s">
        <v>90</v>
      </c>
      <c r="H84" s="137" t="s">
        <v>90</v>
      </c>
      <c r="I84" s="794" t="s">
        <v>90</v>
      </c>
      <c r="J84" s="794" t="s">
        <v>90</v>
      </c>
      <c r="K84" s="786" t="s">
        <v>711</v>
      </c>
      <c r="L84" s="788">
        <f t="shared" si="13"/>
        <v>0.15</v>
      </c>
      <c r="M84" s="788">
        <f t="shared" si="14"/>
        <v>0.45</v>
      </c>
      <c r="N84" s="788">
        <f t="shared" si="15"/>
        <v>0.5</v>
      </c>
      <c r="P84" s="699" t="s">
        <v>87</v>
      </c>
      <c r="R84" s="785">
        <v>1</v>
      </c>
      <c r="S84" s="743">
        <v>7</v>
      </c>
      <c r="AP84" s="699" t="s">
        <v>87</v>
      </c>
    </row>
    <row r="85" spans="1:43" x14ac:dyDescent="0.2">
      <c r="A85" s="97" t="s">
        <v>806</v>
      </c>
      <c r="B85" s="162">
        <v>21</v>
      </c>
      <c r="C85" s="153" t="str">
        <f t="shared" si="11"/>
        <v>-</v>
      </c>
      <c r="D85" s="756" t="str">
        <f t="shared" si="12"/>
        <v>-</v>
      </c>
      <c r="E85" s="139" t="s">
        <v>90</v>
      </c>
      <c r="F85" s="796" t="s">
        <v>90</v>
      </c>
      <c r="G85" s="139" t="s">
        <v>90</v>
      </c>
      <c r="H85" s="139" t="s">
        <v>90</v>
      </c>
      <c r="I85" s="796" t="s">
        <v>90</v>
      </c>
      <c r="J85" s="796" t="s">
        <v>90</v>
      </c>
      <c r="K85" s="789" t="s">
        <v>711</v>
      </c>
      <c r="L85" s="791">
        <f t="shared" si="13"/>
        <v>0.5</v>
      </c>
      <c r="M85" s="791">
        <f t="shared" si="14"/>
        <v>0.3</v>
      </c>
      <c r="N85" s="791">
        <f t="shared" si="15"/>
        <v>0.5</v>
      </c>
      <c r="P85" s="699" t="s">
        <v>87</v>
      </c>
      <c r="R85" s="792">
        <v>6</v>
      </c>
      <c r="S85" s="762">
        <v>4</v>
      </c>
      <c r="AP85" s="699" t="s">
        <v>87</v>
      </c>
    </row>
    <row r="86" spans="1:43" x14ac:dyDescent="0.2">
      <c r="P86" s="699" t="s">
        <v>87</v>
      </c>
      <c r="AJ86" s="700"/>
      <c r="AK86" s="761"/>
      <c r="AL86" s="761"/>
      <c r="AM86" s="761"/>
      <c r="AN86" s="761"/>
      <c r="AO86" s="761"/>
      <c r="AP86" s="699" t="s">
        <v>87</v>
      </c>
      <c r="AQ86" s="719"/>
    </row>
    <row r="87" spans="1:43" ht="14.25" x14ac:dyDescent="0.2">
      <c r="A87" s="793" t="str">
        <f>$A$17</f>
        <v>Detailed information for</v>
      </c>
      <c r="B87" s="764"/>
      <c r="C87" s="765" t="s">
        <v>731</v>
      </c>
      <c r="D87" s="766" t="s">
        <v>732</v>
      </c>
      <c r="E87" s="767"/>
      <c r="F87" s="767"/>
      <c r="G87" s="768"/>
      <c r="H87" s="769" t="s">
        <v>733</v>
      </c>
      <c r="I87" s="770"/>
      <c r="J87" s="770"/>
      <c r="K87" s="771" t="s">
        <v>33</v>
      </c>
      <c r="L87" s="772" t="s">
        <v>734</v>
      </c>
      <c r="M87" s="770"/>
      <c r="N87" s="770"/>
      <c r="P87" s="699" t="s">
        <v>87</v>
      </c>
      <c r="R87" s="773" t="s">
        <v>735</v>
      </c>
      <c r="S87" s="770"/>
      <c r="AJ87" s="719"/>
      <c r="AK87" s="719"/>
      <c r="AL87" s="719"/>
      <c r="AM87" s="719"/>
      <c r="AN87" s="719"/>
      <c r="AO87" s="719"/>
      <c r="AP87" s="699" t="s">
        <v>87</v>
      </c>
      <c r="AQ87" s="719"/>
    </row>
    <row r="88" spans="1:43" ht="15" x14ac:dyDescent="0.25">
      <c r="A88" s="774" t="s">
        <v>723</v>
      </c>
      <c r="B88" s="775"/>
      <c r="C88" s="776" t="s">
        <v>736</v>
      </c>
      <c r="D88" s="777" t="s">
        <v>173</v>
      </c>
      <c r="E88" s="777" t="s">
        <v>737</v>
      </c>
      <c r="F88" s="777" t="s">
        <v>738</v>
      </c>
      <c r="G88" s="777" t="s">
        <v>739</v>
      </c>
      <c r="H88" s="777" t="s">
        <v>737</v>
      </c>
      <c r="I88" s="777" t="s">
        <v>738</v>
      </c>
      <c r="J88" s="777" t="s">
        <v>740</v>
      </c>
      <c r="K88" s="778" t="s">
        <v>8</v>
      </c>
      <c r="L88" s="779" t="s">
        <v>741</v>
      </c>
      <c r="M88" s="779" t="s">
        <v>742</v>
      </c>
      <c r="N88" s="780" t="s">
        <v>743</v>
      </c>
      <c r="P88" s="699" t="s">
        <v>87</v>
      </c>
      <c r="R88" s="777" t="s">
        <v>744</v>
      </c>
      <c r="S88" s="777" t="s">
        <v>745</v>
      </c>
      <c r="AJ88" s="719"/>
      <c r="AK88" s="719"/>
      <c r="AL88" s="719"/>
      <c r="AM88" s="719"/>
      <c r="AN88" s="719"/>
      <c r="AO88" s="719"/>
      <c r="AP88" s="699" t="s">
        <v>87</v>
      </c>
      <c r="AQ88" s="719"/>
    </row>
    <row r="89" spans="1:43" ht="14.25" x14ac:dyDescent="0.2">
      <c r="A89" s="662"/>
      <c r="B89" s="104">
        <v>158</v>
      </c>
      <c r="C89" s="167" t="s">
        <v>746</v>
      </c>
      <c r="D89" s="167" t="s">
        <v>747</v>
      </c>
      <c r="E89" s="167">
        <v>3</v>
      </c>
      <c r="F89" s="167">
        <v>4</v>
      </c>
      <c r="G89" s="167">
        <v>5</v>
      </c>
      <c r="H89" s="167">
        <v>6</v>
      </c>
      <c r="I89" s="167">
        <v>7</v>
      </c>
      <c r="J89" s="167">
        <v>8</v>
      </c>
      <c r="K89" s="167"/>
      <c r="L89" s="167"/>
      <c r="M89" s="167"/>
      <c r="N89" s="214"/>
      <c r="P89" s="699" t="s">
        <v>87</v>
      </c>
      <c r="R89" s="781"/>
      <c r="S89" s="106"/>
      <c r="AJ89" s="719"/>
      <c r="AK89" s="719"/>
      <c r="AL89" s="719"/>
      <c r="AM89" s="719"/>
      <c r="AN89" s="719"/>
      <c r="AO89" s="719"/>
      <c r="AP89" s="699" t="s">
        <v>87</v>
      </c>
      <c r="AQ89" s="719"/>
    </row>
    <row r="90" spans="1:43" x14ac:dyDescent="0.2">
      <c r="A90" s="641" t="s">
        <v>807</v>
      </c>
      <c r="B90" s="169">
        <v>1</v>
      </c>
      <c r="C90" s="282" t="str">
        <f t="shared" ref="C90:C105" si="16">IF(OR(D90&lt;&gt;"-",I90&lt;&gt;"-"),SQRT(PRODUCT(L90,SUM(D90))^2+PRODUCT(M90,SUM(I90))^2+2*PRODUCT(N90,L90,SUM(D90),M90,SUM(I90))),"-")</f>
        <v>-</v>
      </c>
      <c r="D90" s="782" t="str">
        <f t="shared" ref="D90:D105" si="17">IF(OR(F90&lt;&gt;"-",G90&lt;&gt;"-"),MAX(SUM(F90),SUM(G90)),"-")</f>
        <v>-</v>
      </c>
      <c r="E90" s="149" t="s">
        <v>90</v>
      </c>
      <c r="F90" s="797" t="s">
        <v>90</v>
      </c>
      <c r="G90" s="149" t="s">
        <v>90</v>
      </c>
      <c r="H90" s="149" t="s">
        <v>90</v>
      </c>
      <c r="I90" s="149" t="s">
        <v>90</v>
      </c>
      <c r="J90" s="149" t="s">
        <v>90</v>
      </c>
      <c r="K90" s="783" t="s">
        <v>709</v>
      </c>
      <c r="L90" s="798">
        <f t="shared" ref="L90:L105" si="18">IFERROR(INDEX(ICS.NL.Buckets.P,R90),"-")</f>
        <v>0.25</v>
      </c>
      <c r="M90" s="798">
        <f t="shared" ref="M90:M105" si="19">IFERROR(INDEX(ICS.NL.Buckets.R,S90),"-")</f>
        <v>0.2</v>
      </c>
      <c r="N90" s="798">
        <f t="shared" ref="N90:N105" si="20">IFERROR(INDEX(ICS.NL.Corr.P_R,MATCH(K90,ICS.NL.CategMapping,0)),1)</f>
        <v>0.25</v>
      </c>
      <c r="P90" s="699" t="s">
        <v>87</v>
      </c>
      <c r="R90" s="785">
        <v>2</v>
      </c>
      <c r="S90" s="743">
        <v>2</v>
      </c>
      <c r="AJ90" s="719"/>
      <c r="AK90" s="719"/>
      <c r="AL90" s="719"/>
      <c r="AM90" s="719"/>
      <c r="AN90" s="719"/>
      <c r="AO90" s="719"/>
      <c r="AP90" s="699" t="s">
        <v>87</v>
      </c>
      <c r="AQ90" s="719"/>
    </row>
    <row r="91" spans="1:43" x14ac:dyDescent="0.2">
      <c r="A91" s="641" t="s">
        <v>808</v>
      </c>
      <c r="B91" s="169">
        <v>2</v>
      </c>
      <c r="C91" s="285" t="str">
        <f t="shared" si="16"/>
        <v>-</v>
      </c>
      <c r="D91" s="739" t="str">
        <f t="shared" si="17"/>
        <v>-</v>
      </c>
      <c r="E91" s="137" t="s">
        <v>90</v>
      </c>
      <c r="F91" s="794" t="s">
        <v>90</v>
      </c>
      <c r="G91" s="137" t="s">
        <v>90</v>
      </c>
      <c r="H91" s="137" t="s">
        <v>90</v>
      </c>
      <c r="I91" s="137" t="s">
        <v>90</v>
      </c>
      <c r="J91" s="137" t="s">
        <v>90</v>
      </c>
      <c r="K91" s="786" t="s">
        <v>709</v>
      </c>
      <c r="L91" s="788">
        <f t="shared" si="18"/>
        <v>0.5</v>
      </c>
      <c r="M91" s="788">
        <f t="shared" si="19"/>
        <v>0.5</v>
      </c>
      <c r="N91" s="788">
        <f t="shared" si="20"/>
        <v>0.25</v>
      </c>
      <c r="P91" s="699" t="s">
        <v>87</v>
      </c>
      <c r="R91" s="785">
        <v>6</v>
      </c>
      <c r="S91" s="743">
        <v>8</v>
      </c>
      <c r="AJ91" s="719"/>
      <c r="AK91" s="719"/>
      <c r="AL91" s="719"/>
      <c r="AM91" s="719"/>
      <c r="AN91" s="719"/>
      <c r="AO91" s="719"/>
      <c r="AP91" s="699" t="s">
        <v>87</v>
      </c>
      <c r="AQ91" s="719"/>
    </row>
    <row r="92" spans="1:43" x14ac:dyDescent="0.2">
      <c r="A92" s="641" t="s">
        <v>809</v>
      </c>
      <c r="B92" s="169">
        <v>3</v>
      </c>
      <c r="C92" s="285" t="str">
        <f t="shared" si="16"/>
        <v>-</v>
      </c>
      <c r="D92" s="739" t="str">
        <f t="shared" si="17"/>
        <v>-</v>
      </c>
      <c r="E92" s="137" t="s">
        <v>90</v>
      </c>
      <c r="F92" s="794" t="s">
        <v>90</v>
      </c>
      <c r="G92" s="137" t="s">
        <v>90</v>
      </c>
      <c r="H92" s="137" t="s">
        <v>90</v>
      </c>
      <c r="I92" s="137" t="s">
        <v>90</v>
      </c>
      <c r="J92" s="137" t="s">
        <v>90</v>
      </c>
      <c r="K92" s="786" t="s">
        <v>709</v>
      </c>
      <c r="L92" s="788">
        <f t="shared" si="18"/>
        <v>0.5</v>
      </c>
      <c r="M92" s="788">
        <f t="shared" si="19"/>
        <v>0.5</v>
      </c>
      <c r="N92" s="788">
        <f t="shared" si="20"/>
        <v>0.25</v>
      </c>
      <c r="P92" s="699" t="s">
        <v>87</v>
      </c>
      <c r="R92" s="785">
        <v>6</v>
      </c>
      <c r="S92" s="743">
        <v>8</v>
      </c>
      <c r="AJ92" s="719"/>
      <c r="AK92" s="719"/>
      <c r="AL92" s="719"/>
      <c r="AM92" s="719"/>
      <c r="AN92" s="719"/>
      <c r="AO92" s="719"/>
      <c r="AP92" s="699" t="s">
        <v>87</v>
      </c>
      <c r="AQ92" s="719"/>
    </row>
    <row r="93" spans="1:43" ht="14.25" x14ac:dyDescent="0.2">
      <c r="A93" s="641" t="s">
        <v>810</v>
      </c>
      <c r="B93" s="169">
        <v>4</v>
      </c>
      <c r="C93" s="285" t="str">
        <f t="shared" si="16"/>
        <v>-</v>
      </c>
      <c r="D93" s="739" t="str">
        <f t="shared" si="17"/>
        <v>-</v>
      </c>
      <c r="E93" s="137" t="s">
        <v>90</v>
      </c>
      <c r="F93" s="794" t="s">
        <v>90</v>
      </c>
      <c r="G93" s="137" t="s">
        <v>90</v>
      </c>
      <c r="H93" s="137" t="s">
        <v>90</v>
      </c>
      <c r="I93" s="137" t="s">
        <v>90</v>
      </c>
      <c r="J93" s="137" t="s">
        <v>90</v>
      </c>
      <c r="K93" s="786" t="s">
        <v>709</v>
      </c>
      <c r="L93" s="788">
        <f t="shared" si="18"/>
        <v>0.5</v>
      </c>
      <c r="M93" s="788">
        <f t="shared" si="19"/>
        <v>0.5</v>
      </c>
      <c r="N93" s="788">
        <f t="shared" si="20"/>
        <v>0.25</v>
      </c>
      <c r="P93" s="699" t="s">
        <v>87</v>
      </c>
      <c r="R93" s="785">
        <v>6</v>
      </c>
      <c r="S93" s="743">
        <v>8</v>
      </c>
      <c r="AJ93" s="700"/>
      <c r="AK93" s="761"/>
      <c r="AL93" s="702"/>
      <c r="AM93" s="795"/>
      <c r="AN93" s="795"/>
      <c r="AO93" s="719"/>
      <c r="AP93" s="699" t="s">
        <v>87</v>
      </c>
      <c r="AQ93" s="719"/>
    </row>
    <row r="94" spans="1:43" ht="14.25" x14ac:dyDescent="0.2">
      <c r="A94" s="641" t="s">
        <v>811</v>
      </c>
      <c r="B94" s="169">
        <v>5</v>
      </c>
      <c r="C94" s="285" t="str">
        <f t="shared" si="16"/>
        <v>-</v>
      </c>
      <c r="D94" s="739" t="str">
        <f t="shared" si="17"/>
        <v>-</v>
      </c>
      <c r="E94" s="137" t="s">
        <v>90</v>
      </c>
      <c r="F94" s="794" t="s">
        <v>90</v>
      </c>
      <c r="G94" s="137" t="s">
        <v>90</v>
      </c>
      <c r="H94" s="137" t="s">
        <v>90</v>
      </c>
      <c r="I94" s="137" t="s">
        <v>90</v>
      </c>
      <c r="J94" s="137" t="s">
        <v>90</v>
      </c>
      <c r="K94" s="786" t="s">
        <v>350</v>
      </c>
      <c r="L94" s="788">
        <f t="shared" si="18"/>
        <v>0.25</v>
      </c>
      <c r="M94" s="788">
        <f t="shared" si="19"/>
        <v>0.3</v>
      </c>
      <c r="N94" s="788">
        <f t="shared" si="20"/>
        <v>0.5</v>
      </c>
      <c r="P94" s="699" t="s">
        <v>87</v>
      </c>
      <c r="R94" s="785">
        <v>2</v>
      </c>
      <c r="S94" s="743">
        <v>4</v>
      </c>
      <c r="AJ94" s="700"/>
      <c r="AK94" s="761"/>
      <c r="AL94" s="761"/>
      <c r="AM94" s="702"/>
      <c r="AN94" s="795"/>
      <c r="AO94" s="719"/>
      <c r="AP94" s="699" t="s">
        <v>87</v>
      </c>
      <c r="AQ94" s="719"/>
    </row>
    <row r="95" spans="1:43" x14ac:dyDescent="0.2">
      <c r="A95" s="641" t="s">
        <v>812</v>
      </c>
      <c r="B95" s="169">
        <v>6</v>
      </c>
      <c r="C95" s="285" t="str">
        <f t="shared" si="16"/>
        <v>-</v>
      </c>
      <c r="D95" s="739" t="str">
        <f t="shared" si="17"/>
        <v>-</v>
      </c>
      <c r="E95" s="137" t="s">
        <v>90</v>
      </c>
      <c r="F95" s="794" t="s">
        <v>90</v>
      </c>
      <c r="G95" s="137" t="s">
        <v>90</v>
      </c>
      <c r="H95" s="137" t="s">
        <v>90</v>
      </c>
      <c r="I95" s="137" t="s">
        <v>90</v>
      </c>
      <c r="J95" s="137" t="s">
        <v>90</v>
      </c>
      <c r="K95" s="786" t="s">
        <v>709</v>
      </c>
      <c r="L95" s="788">
        <f t="shared" si="18"/>
        <v>0.15</v>
      </c>
      <c r="M95" s="788">
        <f t="shared" si="19"/>
        <v>0.1</v>
      </c>
      <c r="N95" s="788">
        <f t="shared" si="20"/>
        <v>0.25</v>
      </c>
      <c r="P95" s="699" t="s">
        <v>87</v>
      </c>
      <c r="R95" s="785">
        <v>1</v>
      </c>
      <c r="S95" s="743">
        <v>1</v>
      </c>
      <c r="AJ95" s="700"/>
      <c r="AK95" s="761"/>
      <c r="AL95" s="761"/>
      <c r="AM95" s="761"/>
      <c r="AN95" s="702"/>
      <c r="AO95" s="719"/>
      <c r="AP95" s="699" t="s">
        <v>87</v>
      </c>
      <c r="AQ95" s="719"/>
    </row>
    <row r="96" spans="1:43" x14ac:dyDescent="0.2">
      <c r="A96" s="641" t="s">
        <v>813</v>
      </c>
      <c r="B96" s="169">
        <v>7</v>
      </c>
      <c r="C96" s="285" t="str">
        <f t="shared" si="16"/>
        <v>-</v>
      </c>
      <c r="D96" s="739" t="str">
        <f t="shared" si="17"/>
        <v>-</v>
      </c>
      <c r="E96" s="137" t="s">
        <v>90</v>
      </c>
      <c r="F96" s="794" t="s">
        <v>90</v>
      </c>
      <c r="G96" s="137" t="s">
        <v>90</v>
      </c>
      <c r="H96" s="137" t="s">
        <v>90</v>
      </c>
      <c r="I96" s="137" t="s">
        <v>90</v>
      </c>
      <c r="J96" s="137" t="s">
        <v>90</v>
      </c>
      <c r="K96" s="786" t="s">
        <v>709</v>
      </c>
      <c r="L96" s="788">
        <f t="shared" si="18"/>
        <v>0.5</v>
      </c>
      <c r="M96" s="788">
        <f t="shared" si="19"/>
        <v>0.5</v>
      </c>
      <c r="N96" s="788">
        <f t="shared" si="20"/>
        <v>0.25</v>
      </c>
      <c r="P96" s="699" t="s">
        <v>87</v>
      </c>
      <c r="R96" s="785">
        <v>6</v>
      </c>
      <c r="S96" s="743">
        <v>8</v>
      </c>
      <c r="AP96" s="699" t="s">
        <v>87</v>
      </c>
    </row>
    <row r="97" spans="1:43" x14ac:dyDescent="0.2">
      <c r="A97" s="641" t="s">
        <v>814</v>
      </c>
      <c r="B97" s="169">
        <v>8</v>
      </c>
      <c r="C97" s="285" t="str">
        <f t="shared" si="16"/>
        <v>-</v>
      </c>
      <c r="D97" s="739" t="str">
        <f t="shared" si="17"/>
        <v>-</v>
      </c>
      <c r="E97" s="137" t="s">
        <v>90</v>
      </c>
      <c r="F97" s="794" t="s">
        <v>90</v>
      </c>
      <c r="G97" s="137" t="s">
        <v>90</v>
      </c>
      <c r="H97" s="137" t="s">
        <v>90</v>
      </c>
      <c r="I97" s="137" t="s">
        <v>90</v>
      </c>
      <c r="J97" s="137" t="s">
        <v>90</v>
      </c>
      <c r="K97" s="786" t="s">
        <v>707</v>
      </c>
      <c r="L97" s="788">
        <f t="shared" si="18"/>
        <v>0.35</v>
      </c>
      <c r="M97" s="788">
        <f t="shared" si="19"/>
        <v>0.45</v>
      </c>
      <c r="N97" s="788">
        <f t="shared" si="20"/>
        <v>0.75</v>
      </c>
      <c r="P97" s="699" t="s">
        <v>87</v>
      </c>
      <c r="R97" s="785">
        <v>4</v>
      </c>
      <c r="S97" s="743">
        <v>7</v>
      </c>
      <c r="AP97" s="699" t="s">
        <v>87</v>
      </c>
    </row>
    <row r="98" spans="1:43" x14ac:dyDescent="0.2">
      <c r="A98" s="641" t="s">
        <v>815</v>
      </c>
      <c r="B98" s="169">
        <v>9</v>
      </c>
      <c r="C98" s="285" t="str">
        <f t="shared" si="16"/>
        <v>-</v>
      </c>
      <c r="D98" s="739" t="str">
        <f t="shared" si="17"/>
        <v>-</v>
      </c>
      <c r="E98" s="137" t="s">
        <v>90</v>
      </c>
      <c r="F98" s="794" t="s">
        <v>90</v>
      </c>
      <c r="G98" s="137" t="s">
        <v>90</v>
      </c>
      <c r="H98" s="137" t="s">
        <v>90</v>
      </c>
      <c r="I98" s="137" t="s">
        <v>90</v>
      </c>
      <c r="J98" s="137" t="s">
        <v>90</v>
      </c>
      <c r="K98" s="786" t="s">
        <v>709</v>
      </c>
      <c r="L98" s="788">
        <f t="shared" si="18"/>
        <v>0.35</v>
      </c>
      <c r="M98" s="788">
        <f t="shared" si="19"/>
        <v>0.45</v>
      </c>
      <c r="N98" s="788">
        <f t="shared" si="20"/>
        <v>0.25</v>
      </c>
      <c r="P98" s="699" t="s">
        <v>87</v>
      </c>
      <c r="R98" s="785">
        <v>4</v>
      </c>
      <c r="S98" s="743">
        <v>7</v>
      </c>
      <c r="AP98" s="699" t="s">
        <v>87</v>
      </c>
    </row>
    <row r="99" spans="1:43" x14ac:dyDescent="0.2">
      <c r="A99" s="641" t="s">
        <v>816</v>
      </c>
      <c r="B99" s="169">
        <v>10</v>
      </c>
      <c r="C99" s="285" t="str">
        <f t="shared" si="16"/>
        <v>-</v>
      </c>
      <c r="D99" s="739" t="str">
        <f t="shared" si="17"/>
        <v>-</v>
      </c>
      <c r="E99" s="137" t="s">
        <v>90</v>
      </c>
      <c r="F99" s="794" t="s">
        <v>90</v>
      </c>
      <c r="G99" s="137" t="s">
        <v>90</v>
      </c>
      <c r="H99" s="137" t="s">
        <v>90</v>
      </c>
      <c r="I99" s="137" t="s">
        <v>90</v>
      </c>
      <c r="J99" s="137" t="s">
        <v>90</v>
      </c>
      <c r="K99" s="786" t="s">
        <v>710</v>
      </c>
      <c r="L99" s="788">
        <f t="shared" si="18"/>
        <v>0.45</v>
      </c>
      <c r="M99" s="788">
        <f t="shared" si="19"/>
        <v>0.25</v>
      </c>
      <c r="N99" s="788">
        <f t="shared" si="20"/>
        <v>0.75</v>
      </c>
      <c r="P99" s="699" t="s">
        <v>87</v>
      </c>
      <c r="R99" s="785">
        <v>5</v>
      </c>
      <c r="S99" s="743">
        <v>3</v>
      </c>
      <c r="AP99" s="699" t="s">
        <v>87</v>
      </c>
    </row>
    <row r="100" spans="1:43" x14ac:dyDescent="0.2">
      <c r="A100" s="641" t="s">
        <v>817</v>
      </c>
      <c r="B100" s="169">
        <v>11</v>
      </c>
      <c r="C100" s="285" t="str">
        <f t="shared" si="16"/>
        <v>-</v>
      </c>
      <c r="D100" s="739" t="str">
        <f t="shared" si="17"/>
        <v>-</v>
      </c>
      <c r="E100" s="137" t="s">
        <v>90</v>
      </c>
      <c r="F100" s="794" t="s">
        <v>90</v>
      </c>
      <c r="G100" s="137" t="s">
        <v>90</v>
      </c>
      <c r="H100" s="137" t="s">
        <v>90</v>
      </c>
      <c r="I100" s="137" t="s">
        <v>90</v>
      </c>
      <c r="J100" s="137" t="s">
        <v>90</v>
      </c>
      <c r="K100" s="786" t="s">
        <v>709</v>
      </c>
      <c r="L100" s="788">
        <f t="shared" si="18"/>
        <v>0.35</v>
      </c>
      <c r="M100" s="788">
        <f t="shared" si="19"/>
        <v>0.45</v>
      </c>
      <c r="N100" s="788">
        <f t="shared" si="20"/>
        <v>0.25</v>
      </c>
      <c r="P100" s="699" t="s">
        <v>87</v>
      </c>
      <c r="R100" s="785">
        <v>4</v>
      </c>
      <c r="S100" s="743">
        <v>7</v>
      </c>
      <c r="AP100" s="699" t="s">
        <v>87</v>
      </c>
    </row>
    <row r="101" spans="1:43" x14ac:dyDescent="0.2">
      <c r="A101" s="641" t="s">
        <v>818</v>
      </c>
      <c r="B101" s="169">
        <v>12</v>
      </c>
      <c r="C101" s="285" t="str">
        <f t="shared" si="16"/>
        <v>-</v>
      </c>
      <c r="D101" s="739" t="str">
        <f t="shared" si="17"/>
        <v>-</v>
      </c>
      <c r="E101" s="137" t="s">
        <v>90</v>
      </c>
      <c r="F101" s="794" t="s">
        <v>90</v>
      </c>
      <c r="G101" s="137" t="s">
        <v>90</v>
      </c>
      <c r="H101" s="137" t="s">
        <v>90</v>
      </c>
      <c r="I101" s="137" t="s">
        <v>90</v>
      </c>
      <c r="J101" s="137" t="s">
        <v>90</v>
      </c>
      <c r="K101" s="786" t="s">
        <v>709</v>
      </c>
      <c r="L101" s="788">
        <f t="shared" si="18"/>
        <v>0.25</v>
      </c>
      <c r="M101" s="788">
        <f t="shared" si="19"/>
        <v>0.2</v>
      </c>
      <c r="N101" s="788">
        <f t="shared" si="20"/>
        <v>0.25</v>
      </c>
      <c r="P101" s="699" t="s">
        <v>87</v>
      </c>
      <c r="R101" s="785">
        <v>2</v>
      </c>
      <c r="S101" s="743">
        <v>2</v>
      </c>
      <c r="AP101" s="699" t="s">
        <v>87</v>
      </c>
    </row>
    <row r="102" spans="1:43" x14ac:dyDescent="0.2">
      <c r="A102" s="641" t="s">
        <v>819</v>
      </c>
      <c r="B102" s="169">
        <v>13</v>
      </c>
      <c r="C102" s="285" t="str">
        <f t="shared" si="16"/>
        <v>-</v>
      </c>
      <c r="D102" s="739" t="str">
        <f t="shared" si="17"/>
        <v>-</v>
      </c>
      <c r="E102" s="137" t="s">
        <v>90</v>
      </c>
      <c r="F102" s="794" t="s">
        <v>90</v>
      </c>
      <c r="G102" s="137" t="s">
        <v>90</v>
      </c>
      <c r="H102" s="137" t="s">
        <v>90</v>
      </c>
      <c r="I102" s="137" t="s">
        <v>90</v>
      </c>
      <c r="J102" s="137" t="s">
        <v>90</v>
      </c>
      <c r="K102" s="786" t="s">
        <v>710</v>
      </c>
      <c r="L102" s="788">
        <f t="shared" si="18"/>
        <v>0.45</v>
      </c>
      <c r="M102" s="788">
        <f t="shared" si="19"/>
        <v>0.25</v>
      </c>
      <c r="N102" s="788">
        <f t="shared" si="20"/>
        <v>0.75</v>
      </c>
      <c r="P102" s="699" t="s">
        <v>87</v>
      </c>
      <c r="R102" s="785">
        <v>5</v>
      </c>
      <c r="S102" s="743">
        <v>3</v>
      </c>
      <c r="AP102" s="699" t="s">
        <v>87</v>
      </c>
    </row>
    <row r="103" spans="1:43" x14ac:dyDescent="0.2">
      <c r="A103" s="641" t="s">
        <v>820</v>
      </c>
      <c r="B103" s="169">
        <v>14</v>
      </c>
      <c r="C103" s="285" t="str">
        <f t="shared" si="16"/>
        <v>-</v>
      </c>
      <c r="D103" s="739" t="str">
        <f t="shared" si="17"/>
        <v>-</v>
      </c>
      <c r="E103" s="137" t="s">
        <v>90</v>
      </c>
      <c r="F103" s="794" t="s">
        <v>90</v>
      </c>
      <c r="G103" s="137" t="s">
        <v>90</v>
      </c>
      <c r="H103" s="137" t="s">
        <v>90</v>
      </c>
      <c r="I103" s="137" t="s">
        <v>90</v>
      </c>
      <c r="J103" s="137" t="s">
        <v>90</v>
      </c>
      <c r="K103" s="786" t="s">
        <v>350</v>
      </c>
      <c r="L103" s="788">
        <f t="shared" si="18"/>
        <v>0.35</v>
      </c>
      <c r="M103" s="788">
        <f t="shared" si="19"/>
        <v>0.45</v>
      </c>
      <c r="N103" s="788">
        <f t="shared" si="20"/>
        <v>0.5</v>
      </c>
      <c r="P103" s="699" t="s">
        <v>87</v>
      </c>
      <c r="R103" s="785">
        <v>4</v>
      </c>
      <c r="S103" s="743">
        <v>7</v>
      </c>
      <c r="AP103" s="699" t="s">
        <v>87</v>
      </c>
    </row>
    <row r="104" spans="1:43" x14ac:dyDescent="0.2">
      <c r="A104" s="641" t="s">
        <v>821</v>
      </c>
      <c r="B104" s="169">
        <v>15</v>
      </c>
      <c r="C104" s="285" t="str">
        <f t="shared" si="16"/>
        <v>-</v>
      </c>
      <c r="D104" s="739" t="str">
        <f t="shared" si="17"/>
        <v>-</v>
      </c>
      <c r="E104" s="137" t="s">
        <v>90</v>
      </c>
      <c r="F104" s="794" t="s">
        <v>90</v>
      </c>
      <c r="G104" s="137" t="s">
        <v>90</v>
      </c>
      <c r="H104" s="137" t="s">
        <v>90</v>
      </c>
      <c r="I104" s="137" t="s">
        <v>90</v>
      </c>
      <c r="J104" s="137" t="s">
        <v>90</v>
      </c>
      <c r="K104" s="786" t="s">
        <v>350</v>
      </c>
      <c r="L104" s="788">
        <f t="shared" si="18"/>
        <v>0.35</v>
      </c>
      <c r="M104" s="788">
        <f t="shared" si="19"/>
        <v>0.45</v>
      </c>
      <c r="N104" s="788">
        <f t="shared" si="20"/>
        <v>0.5</v>
      </c>
      <c r="P104" s="699" t="s">
        <v>87</v>
      </c>
      <c r="R104" s="785">
        <v>4</v>
      </c>
      <c r="S104" s="743">
        <v>7</v>
      </c>
      <c r="AP104" s="699" t="s">
        <v>87</v>
      </c>
    </row>
    <row r="105" spans="1:43" x14ac:dyDescent="0.2">
      <c r="A105" s="97" t="s">
        <v>822</v>
      </c>
      <c r="B105" s="162">
        <v>16</v>
      </c>
      <c r="C105" s="153" t="str">
        <f t="shared" si="16"/>
        <v>-</v>
      </c>
      <c r="D105" s="756" t="str">
        <f t="shared" si="17"/>
        <v>-</v>
      </c>
      <c r="E105" s="139" t="s">
        <v>90</v>
      </c>
      <c r="F105" s="796" t="s">
        <v>90</v>
      </c>
      <c r="G105" s="139" t="s">
        <v>90</v>
      </c>
      <c r="H105" s="139" t="s">
        <v>90</v>
      </c>
      <c r="I105" s="139" t="s">
        <v>90</v>
      </c>
      <c r="J105" s="139" t="s">
        <v>90</v>
      </c>
      <c r="K105" s="789" t="s">
        <v>350</v>
      </c>
      <c r="L105" s="791">
        <f t="shared" si="18"/>
        <v>0.35</v>
      </c>
      <c r="M105" s="791">
        <f t="shared" si="19"/>
        <v>0.45</v>
      </c>
      <c r="N105" s="791">
        <f t="shared" si="20"/>
        <v>0.5</v>
      </c>
      <c r="P105" s="699" t="s">
        <v>87</v>
      </c>
      <c r="R105" s="792">
        <v>4</v>
      </c>
      <c r="S105" s="762">
        <v>7</v>
      </c>
      <c r="AP105" s="699" t="s">
        <v>87</v>
      </c>
    </row>
    <row r="106" spans="1:43" x14ac:dyDescent="0.2">
      <c r="P106" s="699" t="s">
        <v>87</v>
      </c>
      <c r="AJ106" s="700"/>
      <c r="AK106" s="761"/>
      <c r="AL106" s="761"/>
      <c r="AM106" s="761"/>
      <c r="AN106" s="761"/>
      <c r="AO106" s="761"/>
      <c r="AP106" s="699" t="s">
        <v>87</v>
      </c>
      <c r="AQ106" s="719"/>
    </row>
    <row r="107" spans="1:43" ht="14.25" x14ac:dyDescent="0.2">
      <c r="A107" s="793" t="str">
        <f>$A$17</f>
        <v>Detailed information for</v>
      </c>
      <c r="B107" s="764"/>
      <c r="C107" s="765" t="s">
        <v>731</v>
      </c>
      <c r="D107" s="766" t="s">
        <v>732</v>
      </c>
      <c r="E107" s="767"/>
      <c r="F107" s="767"/>
      <c r="G107" s="768"/>
      <c r="H107" s="769" t="s">
        <v>733</v>
      </c>
      <c r="I107" s="770"/>
      <c r="J107" s="770"/>
      <c r="K107" s="771" t="s">
        <v>33</v>
      </c>
      <c r="L107" s="772" t="s">
        <v>734</v>
      </c>
      <c r="M107" s="770"/>
      <c r="N107" s="770"/>
      <c r="P107" s="699" t="s">
        <v>87</v>
      </c>
      <c r="R107" s="773" t="s">
        <v>735</v>
      </c>
      <c r="S107" s="770"/>
      <c r="AJ107" s="719"/>
      <c r="AK107" s="719"/>
      <c r="AL107" s="719"/>
      <c r="AM107" s="719"/>
      <c r="AN107" s="719"/>
      <c r="AO107" s="719"/>
      <c r="AP107" s="699" t="s">
        <v>87</v>
      </c>
      <c r="AQ107" s="719"/>
    </row>
    <row r="108" spans="1:43" ht="15" x14ac:dyDescent="0.25">
      <c r="A108" s="774" t="s">
        <v>724</v>
      </c>
      <c r="B108" s="775"/>
      <c r="C108" s="776" t="s">
        <v>736</v>
      </c>
      <c r="D108" s="777" t="s">
        <v>173</v>
      </c>
      <c r="E108" s="777" t="s">
        <v>737</v>
      </c>
      <c r="F108" s="777" t="s">
        <v>738</v>
      </c>
      <c r="G108" s="777" t="s">
        <v>739</v>
      </c>
      <c r="H108" s="777" t="s">
        <v>737</v>
      </c>
      <c r="I108" s="777" t="s">
        <v>738</v>
      </c>
      <c r="J108" s="777" t="s">
        <v>740</v>
      </c>
      <c r="K108" s="778" t="s">
        <v>8</v>
      </c>
      <c r="L108" s="779" t="s">
        <v>741</v>
      </c>
      <c r="M108" s="779" t="s">
        <v>742</v>
      </c>
      <c r="N108" s="780" t="s">
        <v>743</v>
      </c>
      <c r="P108" s="699" t="s">
        <v>87</v>
      </c>
      <c r="R108" s="777" t="s">
        <v>744</v>
      </c>
      <c r="S108" s="777" t="s">
        <v>745</v>
      </c>
      <c r="AJ108" s="719"/>
      <c r="AK108" s="719"/>
      <c r="AL108" s="719"/>
      <c r="AM108" s="719"/>
      <c r="AN108" s="719"/>
      <c r="AO108" s="719"/>
      <c r="AP108" s="699" t="s">
        <v>87</v>
      </c>
      <c r="AQ108" s="719"/>
    </row>
    <row r="109" spans="1:43" ht="14.25" x14ac:dyDescent="0.2">
      <c r="A109" s="662"/>
      <c r="B109" s="104">
        <v>159</v>
      </c>
      <c r="C109" s="167" t="s">
        <v>746</v>
      </c>
      <c r="D109" s="167" t="s">
        <v>747</v>
      </c>
      <c r="E109" s="167">
        <v>3</v>
      </c>
      <c r="F109" s="167">
        <v>4</v>
      </c>
      <c r="G109" s="167">
        <v>5</v>
      </c>
      <c r="H109" s="167">
        <v>6</v>
      </c>
      <c r="I109" s="167">
        <v>7</v>
      </c>
      <c r="J109" s="167">
        <v>8</v>
      </c>
      <c r="K109" s="167"/>
      <c r="L109" s="167"/>
      <c r="M109" s="167"/>
      <c r="N109" s="214"/>
      <c r="P109" s="699" t="s">
        <v>87</v>
      </c>
      <c r="R109" s="781"/>
      <c r="S109" s="106"/>
      <c r="AJ109" s="719"/>
      <c r="AK109" s="719"/>
      <c r="AL109" s="719"/>
      <c r="AM109" s="719"/>
      <c r="AN109" s="719"/>
      <c r="AO109" s="719"/>
      <c r="AP109" s="699" t="s">
        <v>87</v>
      </c>
      <c r="AQ109" s="719"/>
    </row>
    <row r="110" spans="1:43" x14ac:dyDescent="0.2">
      <c r="A110" s="641" t="s">
        <v>195</v>
      </c>
      <c r="B110" s="169">
        <v>1</v>
      </c>
      <c r="C110" s="282" t="str">
        <f t="shared" ref="C110:C119" si="21">IF(OR(D110&lt;&gt;"-",I110&lt;&gt;"-"),SQRT(PRODUCT(L110,SUM(D110))^2+PRODUCT(M110,SUM(I110))^2+2*PRODUCT(N110,L110,SUM(D110),M110,SUM(I110))),"-")</f>
        <v>-</v>
      </c>
      <c r="D110" s="782" t="str">
        <f t="shared" ref="D110:D119" si="22">IF(OR(F110&lt;&gt;"-",G110&lt;&gt;"-"),MAX(SUM(F110),SUM(G110)),"-")</f>
        <v>-</v>
      </c>
      <c r="E110" s="149" t="s">
        <v>90</v>
      </c>
      <c r="F110" s="797" t="s">
        <v>90</v>
      </c>
      <c r="G110" s="149" t="s">
        <v>90</v>
      </c>
      <c r="H110" s="149" t="s">
        <v>90</v>
      </c>
      <c r="I110" s="149" t="s">
        <v>90</v>
      </c>
      <c r="J110" s="149" t="s">
        <v>90</v>
      </c>
      <c r="K110" s="783" t="s">
        <v>709</v>
      </c>
      <c r="L110" s="798">
        <f t="shared" ref="L110:L119" si="23">IFERROR(INDEX(ICS.NL.Buckets.P,R110),"-")</f>
        <v>0.25</v>
      </c>
      <c r="M110" s="798">
        <f t="shared" ref="M110:M119" si="24">IFERROR(INDEX(ICS.NL.Buckets.R,S110),"-")</f>
        <v>0.1</v>
      </c>
      <c r="N110" s="798">
        <f t="shared" ref="N110:N119" si="25">IFERROR(INDEX(ICS.NL.Corr.P_R,MATCH(K110,ICS.NL.CategMapping,0)),1)</f>
        <v>0.25</v>
      </c>
      <c r="P110" s="699" t="s">
        <v>87</v>
      </c>
      <c r="R110" s="785">
        <v>2</v>
      </c>
      <c r="S110" s="743">
        <v>1</v>
      </c>
      <c r="AJ110" s="719"/>
      <c r="AK110" s="719"/>
      <c r="AL110" s="719"/>
      <c r="AM110" s="719"/>
      <c r="AN110" s="719"/>
      <c r="AO110" s="719"/>
      <c r="AP110" s="699" t="s">
        <v>87</v>
      </c>
      <c r="AQ110" s="719"/>
    </row>
    <row r="111" spans="1:43" x14ac:dyDescent="0.2">
      <c r="A111" s="641" t="s">
        <v>823</v>
      </c>
      <c r="B111" s="169">
        <v>2</v>
      </c>
      <c r="C111" s="285" t="str">
        <f t="shared" si="21"/>
        <v>-</v>
      </c>
      <c r="D111" s="739" t="str">
        <f t="shared" si="22"/>
        <v>-</v>
      </c>
      <c r="E111" s="137" t="s">
        <v>90</v>
      </c>
      <c r="F111" s="794" t="s">
        <v>90</v>
      </c>
      <c r="G111" s="137" t="s">
        <v>90</v>
      </c>
      <c r="H111" s="137" t="s">
        <v>90</v>
      </c>
      <c r="I111" s="137" t="s">
        <v>90</v>
      </c>
      <c r="J111" s="137" t="s">
        <v>90</v>
      </c>
      <c r="K111" s="786" t="s">
        <v>709</v>
      </c>
      <c r="L111" s="788">
        <f t="shared" si="23"/>
        <v>0.5</v>
      </c>
      <c r="M111" s="788">
        <f t="shared" si="24"/>
        <v>0.5</v>
      </c>
      <c r="N111" s="788">
        <f t="shared" si="25"/>
        <v>0.25</v>
      </c>
      <c r="P111" s="699" t="s">
        <v>87</v>
      </c>
      <c r="R111" s="785">
        <v>6</v>
      </c>
      <c r="S111" s="743">
        <v>8</v>
      </c>
      <c r="AO111" s="719"/>
      <c r="AP111" s="699" t="s">
        <v>87</v>
      </c>
      <c r="AQ111" s="719"/>
    </row>
    <row r="112" spans="1:43" x14ac:dyDescent="0.2">
      <c r="A112" s="641" t="s">
        <v>824</v>
      </c>
      <c r="B112" s="169">
        <v>3</v>
      </c>
      <c r="C112" s="285" t="str">
        <f t="shared" si="21"/>
        <v>-</v>
      </c>
      <c r="D112" s="739" t="str">
        <f t="shared" si="22"/>
        <v>-</v>
      </c>
      <c r="E112" s="137" t="s">
        <v>90</v>
      </c>
      <c r="F112" s="794" t="s">
        <v>90</v>
      </c>
      <c r="G112" s="137" t="s">
        <v>90</v>
      </c>
      <c r="H112" s="137" t="s">
        <v>90</v>
      </c>
      <c r="I112" s="137" t="s">
        <v>90</v>
      </c>
      <c r="J112" s="137" t="s">
        <v>90</v>
      </c>
      <c r="K112" s="786" t="s">
        <v>709</v>
      </c>
      <c r="L112" s="788">
        <f t="shared" si="23"/>
        <v>0.5</v>
      </c>
      <c r="M112" s="788">
        <f t="shared" si="24"/>
        <v>0.45</v>
      </c>
      <c r="N112" s="788">
        <f t="shared" si="25"/>
        <v>0.25</v>
      </c>
      <c r="P112" s="699" t="s">
        <v>87</v>
      </c>
      <c r="R112" s="785">
        <v>6</v>
      </c>
      <c r="S112" s="743">
        <v>7</v>
      </c>
      <c r="AO112" s="719"/>
      <c r="AP112" s="699" t="s">
        <v>87</v>
      </c>
      <c r="AQ112" s="719"/>
    </row>
    <row r="113" spans="1:43" ht="14.25" x14ac:dyDescent="0.2">
      <c r="A113" s="641" t="s">
        <v>608</v>
      </c>
      <c r="B113" s="169">
        <v>4</v>
      </c>
      <c r="C113" s="285" t="str">
        <f t="shared" si="21"/>
        <v>-</v>
      </c>
      <c r="D113" s="739" t="str">
        <f t="shared" si="22"/>
        <v>-</v>
      </c>
      <c r="E113" s="137" t="s">
        <v>90</v>
      </c>
      <c r="F113" s="794" t="s">
        <v>90</v>
      </c>
      <c r="G113" s="137" t="s">
        <v>90</v>
      </c>
      <c r="H113" s="137" t="s">
        <v>90</v>
      </c>
      <c r="I113" s="137" t="s">
        <v>90</v>
      </c>
      <c r="J113" s="137" t="s">
        <v>90</v>
      </c>
      <c r="K113" s="786" t="s">
        <v>710</v>
      </c>
      <c r="L113" s="788">
        <f t="shared" si="23"/>
        <v>0.25</v>
      </c>
      <c r="M113" s="788">
        <f t="shared" si="24"/>
        <v>0.35</v>
      </c>
      <c r="N113" s="788">
        <f t="shared" si="25"/>
        <v>0.75</v>
      </c>
      <c r="P113" s="699" t="s">
        <v>87</v>
      </c>
      <c r="R113" s="785">
        <v>2</v>
      </c>
      <c r="S113" s="743">
        <v>5</v>
      </c>
      <c r="AJ113" s="700"/>
      <c r="AK113" s="702"/>
      <c r="AL113" s="795"/>
      <c r="AM113" s="795"/>
      <c r="AN113" s="795"/>
      <c r="AO113" s="719"/>
      <c r="AP113" s="699" t="s">
        <v>87</v>
      </c>
      <c r="AQ113" s="719"/>
    </row>
    <row r="114" spans="1:43" ht="14.25" x14ac:dyDescent="0.2">
      <c r="A114" s="641" t="s">
        <v>825</v>
      </c>
      <c r="B114" s="169">
        <v>5</v>
      </c>
      <c r="C114" s="285" t="str">
        <f t="shared" si="21"/>
        <v>-</v>
      </c>
      <c r="D114" s="739" t="str">
        <f t="shared" si="22"/>
        <v>-</v>
      </c>
      <c r="E114" s="137" t="s">
        <v>90</v>
      </c>
      <c r="F114" s="794" t="s">
        <v>90</v>
      </c>
      <c r="G114" s="137" t="s">
        <v>90</v>
      </c>
      <c r="H114" s="137" t="s">
        <v>90</v>
      </c>
      <c r="I114" s="137" t="s">
        <v>90</v>
      </c>
      <c r="J114" s="137" t="s">
        <v>90</v>
      </c>
      <c r="K114" s="786" t="s">
        <v>709</v>
      </c>
      <c r="L114" s="788">
        <f t="shared" si="23"/>
        <v>0.45</v>
      </c>
      <c r="M114" s="788">
        <f t="shared" si="24"/>
        <v>0.3</v>
      </c>
      <c r="N114" s="788">
        <f t="shared" si="25"/>
        <v>0.25</v>
      </c>
      <c r="P114" s="699" t="s">
        <v>87</v>
      </c>
      <c r="R114" s="785">
        <v>5</v>
      </c>
      <c r="S114" s="743">
        <v>4</v>
      </c>
      <c r="AJ114" s="700"/>
      <c r="AK114" s="761"/>
      <c r="AL114" s="702"/>
      <c r="AM114" s="795"/>
      <c r="AN114" s="795"/>
      <c r="AO114" s="719"/>
      <c r="AP114" s="699" t="s">
        <v>87</v>
      </c>
      <c r="AQ114" s="719"/>
    </row>
    <row r="115" spans="1:43" ht="14.25" x14ac:dyDescent="0.2">
      <c r="A115" s="641" t="s">
        <v>700</v>
      </c>
      <c r="B115" s="169">
        <v>6</v>
      </c>
      <c r="C115" s="285" t="str">
        <f t="shared" si="21"/>
        <v>-</v>
      </c>
      <c r="D115" s="739" t="str">
        <f t="shared" si="22"/>
        <v>-</v>
      </c>
      <c r="E115" s="137" t="s">
        <v>90</v>
      </c>
      <c r="F115" s="794" t="s">
        <v>90</v>
      </c>
      <c r="G115" s="137" t="s">
        <v>90</v>
      </c>
      <c r="H115" s="137" t="s">
        <v>90</v>
      </c>
      <c r="I115" s="137" t="s">
        <v>90</v>
      </c>
      <c r="J115" s="137" t="s">
        <v>90</v>
      </c>
      <c r="K115" s="786" t="s">
        <v>707</v>
      </c>
      <c r="L115" s="788">
        <f t="shared" si="23"/>
        <v>0.7</v>
      </c>
      <c r="M115" s="788">
        <f t="shared" si="24"/>
        <v>0.4</v>
      </c>
      <c r="N115" s="788">
        <f t="shared" si="25"/>
        <v>0.75</v>
      </c>
      <c r="P115" s="699" t="s">
        <v>87</v>
      </c>
      <c r="R115" s="785">
        <v>8</v>
      </c>
      <c r="S115" s="743">
        <v>6</v>
      </c>
      <c r="AJ115" s="700"/>
      <c r="AK115" s="761"/>
      <c r="AL115" s="761"/>
      <c r="AM115" s="702"/>
      <c r="AN115" s="795"/>
      <c r="AO115" s="719"/>
      <c r="AP115" s="699" t="s">
        <v>87</v>
      </c>
      <c r="AQ115" s="719"/>
    </row>
    <row r="116" spans="1:43" x14ac:dyDescent="0.2">
      <c r="A116" s="641" t="s">
        <v>826</v>
      </c>
      <c r="B116" s="169">
        <v>7</v>
      </c>
      <c r="C116" s="285" t="str">
        <f t="shared" si="21"/>
        <v>-</v>
      </c>
      <c r="D116" s="739" t="str">
        <f t="shared" si="22"/>
        <v>-</v>
      </c>
      <c r="E116" s="137" t="s">
        <v>90</v>
      </c>
      <c r="F116" s="794" t="s">
        <v>90</v>
      </c>
      <c r="G116" s="137" t="s">
        <v>90</v>
      </c>
      <c r="H116" s="137" t="s">
        <v>90</v>
      </c>
      <c r="I116" s="137" t="s">
        <v>90</v>
      </c>
      <c r="J116" s="137" t="s">
        <v>90</v>
      </c>
      <c r="K116" s="786" t="s">
        <v>350</v>
      </c>
      <c r="L116" s="788">
        <f t="shared" si="23"/>
        <v>0.15</v>
      </c>
      <c r="M116" s="788">
        <f t="shared" si="24"/>
        <v>0.1</v>
      </c>
      <c r="N116" s="788">
        <f t="shared" si="25"/>
        <v>0.5</v>
      </c>
      <c r="P116" s="699" t="s">
        <v>87</v>
      </c>
      <c r="R116" s="785">
        <v>1</v>
      </c>
      <c r="S116" s="743">
        <v>1</v>
      </c>
      <c r="AJ116" s="700"/>
      <c r="AK116" s="761"/>
      <c r="AL116" s="761"/>
      <c r="AM116" s="761"/>
      <c r="AN116" s="702"/>
      <c r="AO116" s="719"/>
      <c r="AP116" s="699" t="s">
        <v>87</v>
      </c>
      <c r="AQ116" s="719"/>
    </row>
    <row r="117" spans="1:43" x14ac:dyDescent="0.2">
      <c r="A117" s="641" t="s">
        <v>827</v>
      </c>
      <c r="B117" s="169">
        <v>8</v>
      </c>
      <c r="C117" s="285" t="str">
        <f t="shared" si="21"/>
        <v>-</v>
      </c>
      <c r="D117" s="739" t="str">
        <f t="shared" si="22"/>
        <v>-</v>
      </c>
      <c r="E117" s="137" t="s">
        <v>90</v>
      </c>
      <c r="F117" s="794" t="s">
        <v>90</v>
      </c>
      <c r="G117" s="137" t="s">
        <v>90</v>
      </c>
      <c r="H117" s="137" t="s">
        <v>90</v>
      </c>
      <c r="I117" s="137" t="s">
        <v>90</v>
      </c>
      <c r="J117" s="137" t="s">
        <v>90</v>
      </c>
      <c r="K117" s="786" t="s">
        <v>350</v>
      </c>
      <c r="L117" s="788">
        <f t="shared" si="23"/>
        <v>0.25</v>
      </c>
      <c r="M117" s="788">
        <f t="shared" si="24"/>
        <v>0.1</v>
      </c>
      <c r="N117" s="788">
        <f t="shared" si="25"/>
        <v>0.5</v>
      </c>
      <c r="P117" s="699" t="s">
        <v>87</v>
      </c>
      <c r="R117" s="785">
        <v>2</v>
      </c>
      <c r="S117" s="743">
        <v>1</v>
      </c>
      <c r="AP117" s="699" t="s">
        <v>87</v>
      </c>
    </row>
    <row r="118" spans="1:43" x14ac:dyDescent="0.2">
      <c r="A118" s="641" t="s">
        <v>828</v>
      </c>
      <c r="B118" s="169">
        <v>9</v>
      </c>
      <c r="C118" s="285" t="str">
        <f t="shared" si="21"/>
        <v>-</v>
      </c>
      <c r="D118" s="739" t="str">
        <f t="shared" si="22"/>
        <v>-</v>
      </c>
      <c r="E118" s="137" t="s">
        <v>90</v>
      </c>
      <c r="F118" s="794" t="s">
        <v>90</v>
      </c>
      <c r="G118" s="137" t="s">
        <v>90</v>
      </c>
      <c r="H118" s="137" t="s">
        <v>90</v>
      </c>
      <c r="I118" s="137" t="s">
        <v>90</v>
      </c>
      <c r="J118" s="137" t="s">
        <v>90</v>
      </c>
      <c r="K118" s="786" t="s">
        <v>350</v>
      </c>
      <c r="L118" s="788">
        <f t="shared" si="23"/>
        <v>0.15</v>
      </c>
      <c r="M118" s="788">
        <f t="shared" si="24"/>
        <v>0.1</v>
      </c>
      <c r="N118" s="788">
        <f t="shared" si="25"/>
        <v>0.5</v>
      </c>
      <c r="P118" s="699" t="s">
        <v>87</v>
      </c>
      <c r="R118" s="785">
        <v>1</v>
      </c>
      <c r="S118" s="743">
        <v>1</v>
      </c>
      <c r="AP118" s="699" t="s">
        <v>87</v>
      </c>
    </row>
    <row r="119" spans="1:43" x14ac:dyDescent="0.2">
      <c r="A119" s="97" t="s">
        <v>822</v>
      </c>
      <c r="B119" s="162">
        <v>10</v>
      </c>
      <c r="C119" s="153" t="str">
        <f t="shared" si="21"/>
        <v>-</v>
      </c>
      <c r="D119" s="756" t="str">
        <f t="shared" si="22"/>
        <v>-</v>
      </c>
      <c r="E119" s="139" t="s">
        <v>90</v>
      </c>
      <c r="F119" s="796" t="s">
        <v>90</v>
      </c>
      <c r="G119" s="139" t="s">
        <v>90</v>
      </c>
      <c r="H119" s="139" t="s">
        <v>90</v>
      </c>
      <c r="I119" s="139" t="s">
        <v>90</v>
      </c>
      <c r="J119" s="139" t="s">
        <v>90</v>
      </c>
      <c r="K119" s="789" t="s">
        <v>350</v>
      </c>
      <c r="L119" s="791">
        <f t="shared" si="23"/>
        <v>0.35</v>
      </c>
      <c r="M119" s="791">
        <f t="shared" si="24"/>
        <v>0.1</v>
      </c>
      <c r="N119" s="791">
        <f t="shared" si="25"/>
        <v>0.5</v>
      </c>
      <c r="P119" s="699" t="s">
        <v>87</v>
      </c>
      <c r="R119" s="792">
        <v>4</v>
      </c>
      <c r="S119" s="762">
        <v>1</v>
      </c>
      <c r="AP119" s="699" t="s">
        <v>87</v>
      </c>
    </row>
    <row r="120" spans="1:43" ht="14.25" x14ac:dyDescent="0.2">
      <c r="P120" s="699" t="s">
        <v>87</v>
      </c>
      <c r="AJ120" s="700"/>
      <c r="AK120" s="761"/>
      <c r="AL120" s="702"/>
      <c r="AM120" s="795"/>
      <c r="AN120" s="795"/>
      <c r="AO120" s="795"/>
      <c r="AP120" s="699" t="s">
        <v>87</v>
      </c>
      <c r="AQ120" s="719"/>
    </row>
    <row r="121" spans="1:43" ht="14.25" x14ac:dyDescent="0.2">
      <c r="A121" s="793" t="str">
        <f>$A$17</f>
        <v>Detailed information for</v>
      </c>
      <c r="B121" s="764"/>
      <c r="C121" s="765" t="s">
        <v>731</v>
      </c>
      <c r="D121" s="766" t="s">
        <v>732</v>
      </c>
      <c r="E121" s="767"/>
      <c r="F121" s="767"/>
      <c r="G121" s="768"/>
      <c r="H121" s="769" t="s">
        <v>733</v>
      </c>
      <c r="I121" s="770"/>
      <c r="J121" s="770"/>
      <c r="K121" s="771" t="s">
        <v>33</v>
      </c>
      <c r="L121" s="772" t="s">
        <v>734</v>
      </c>
      <c r="M121" s="770"/>
      <c r="N121" s="770"/>
      <c r="P121" s="699" t="s">
        <v>87</v>
      </c>
      <c r="R121" s="773" t="s">
        <v>735</v>
      </c>
      <c r="S121" s="770"/>
      <c r="AJ121" s="700"/>
      <c r="AK121" s="761"/>
      <c r="AL121" s="702"/>
      <c r="AM121" s="795"/>
      <c r="AN121" s="795"/>
      <c r="AO121" s="795"/>
      <c r="AP121" s="699" t="s">
        <v>87</v>
      </c>
      <c r="AQ121" s="719"/>
    </row>
    <row r="122" spans="1:43" ht="15" x14ac:dyDescent="0.25">
      <c r="A122" s="774" t="s">
        <v>829</v>
      </c>
      <c r="B122" s="775"/>
      <c r="C122" s="776" t="s">
        <v>736</v>
      </c>
      <c r="D122" s="777" t="s">
        <v>173</v>
      </c>
      <c r="E122" s="777" t="s">
        <v>737</v>
      </c>
      <c r="F122" s="777" t="s">
        <v>738</v>
      </c>
      <c r="G122" s="777" t="s">
        <v>739</v>
      </c>
      <c r="H122" s="777" t="s">
        <v>737</v>
      </c>
      <c r="I122" s="777" t="s">
        <v>738</v>
      </c>
      <c r="J122" s="777" t="s">
        <v>740</v>
      </c>
      <c r="K122" s="778" t="s">
        <v>8</v>
      </c>
      <c r="L122" s="779" t="s">
        <v>741</v>
      </c>
      <c r="M122" s="779" t="s">
        <v>742</v>
      </c>
      <c r="N122" s="780" t="s">
        <v>743</v>
      </c>
      <c r="P122" s="699" t="s">
        <v>87</v>
      </c>
      <c r="R122" s="777" t="s">
        <v>744</v>
      </c>
      <c r="S122" s="777" t="s">
        <v>745</v>
      </c>
      <c r="AJ122" s="700"/>
      <c r="AK122" s="761"/>
      <c r="AL122" s="702"/>
      <c r="AM122" s="795"/>
      <c r="AN122" s="795"/>
      <c r="AO122" s="795"/>
      <c r="AP122" s="699" t="s">
        <v>87</v>
      </c>
      <c r="AQ122" s="719"/>
    </row>
    <row r="123" spans="1:43" ht="14.25" x14ac:dyDescent="0.2">
      <c r="A123" s="662"/>
      <c r="B123" s="104">
        <v>160</v>
      </c>
      <c r="C123" s="167" t="s">
        <v>746</v>
      </c>
      <c r="D123" s="167" t="s">
        <v>747</v>
      </c>
      <c r="E123" s="167">
        <v>3</v>
      </c>
      <c r="F123" s="167">
        <v>4</v>
      </c>
      <c r="G123" s="167">
        <v>5</v>
      </c>
      <c r="H123" s="167">
        <v>6</v>
      </c>
      <c r="I123" s="167">
        <v>7</v>
      </c>
      <c r="J123" s="167">
        <v>8</v>
      </c>
      <c r="K123" s="167"/>
      <c r="L123" s="167"/>
      <c r="M123" s="167"/>
      <c r="N123" s="214"/>
      <c r="P123" s="699" t="s">
        <v>87</v>
      </c>
      <c r="R123" s="781"/>
      <c r="S123" s="106"/>
      <c r="AJ123" s="700"/>
      <c r="AK123" s="761"/>
      <c r="AL123" s="702"/>
      <c r="AM123" s="795"/>
      <c r="AN123" s="795"/>
      <c r="AO123" s="795"/>
      <c r="AP123" s="699" t="s">
        <v>87</v>
      </c>
      <c r="AQ123" s="719"/>
    </row>
    <row r="124" spans="1:43" ht="14.25" x14ac:dyDescent="0.2">
      <c r="A124" s="641" t="s">
        <v>830</v>
      </c>
      <c r="B124" s="169">
        <v>1</v>
      </c>
      <c r="C124" s="282" t="str">
        <f t="shared" ref="C124:C171" si="26">IF(OR(D124&lt;&gt;"-",I124&lt;&gt;"-"),SQRT(PRODUCT(L124,SUM(D124))^2+PRODUCT(M124,SUM(I124))^2+2*PRODUCT(N124,L124,SUM(D124),M124,SUM(I124))),"-")</f>
        <v>-</v>
      </c>
      <c r="D124" s="782" t="str">
        <f t="shared" ref="D124:D171" si="27">IF(OR(F124&lt;&gt;"-",G124&lt;&gt;"-"),MAX(SUM(F124),SUM(G124)),"-")</f>
        <v>-</v>
      </c>
      <c r="E124" s="149" t="s">
        <v>90</v>
      </c>
      <c r="F124" s="797" t="s">
        <v>90</v>
      </c>
      <c r="G124" s="149" t="s">
        <v>90</v>
      </c>
      <c r="H124" s="149" t="s">
        <v>90</v>
      </c>
      <c r="I124" s="149" t="s">
        <v>90</v>
      </c>
      <c r="J124" s="149" t="s">
        <v>90</v>
      </c>
      <c r="K124" s="783" t="s">
        <v>709</v>
      </c>
      <c r="L124" s="788">
        <f t="shared" ref="L124:L171" si="28">IFERROR(INDEX(ICS.NL.Buckets.P,R124),"-")</f>
        <v>0.25</v>
      </c>
      <c r="M124" s="788">
        <f t="shared" ref="M124:M171" si="29">IFERROR(INDEX(ICS.NL.Buckets.R,S124),"-")</f>
        <v>0.1</v>
      </c>
      <c r="N124" s="788">
        <f t="shared" ref="N124:N171" si="30">IFERROR(INDEX(ICS.NL.Corr.P_R,MATCH(K124,ICS.NL.CategMapping,0)),1)</f>
        <v>0.25</v>
      </c>
      <c r="P124" s="699" t="s">
        <v>87</v>
      </c>
      <c r="R124" s="785">
        <v>2</v>
      </c>
      <c r="S124" s="743">
        <v>1</v>
      </c>
      <c r="AJ124" s="700"/>
      <c r="AK124" s="761"/>
      <c r="AL124" s="702"/>
      <c r="AM124" s="795"/>
      <c r="AN124" s="795"/>
      <c r="AO124" s="795"/>
      <c r="AP124" s="699" t="s">
        <v>87</v>
      </c>
      <c r="AQ124" s="719"/>
    </row>
    <row r="125" spans="1:43" ht="14.25" x14ac:dyDescent="0.2">
      <c r="A125" s="641" t="s">
        <v>831</v>
      </c>
      <c r="B125" s="169">
        <v>2</v>
      </c>
      <c r="C125" s="285" t="str">
        <f t="shared" si="26"/>
        <v>-</v>
      </c>
      <c r="D125" s="739" t="str">
        <f t="shared" si="27"/>
        <v>-</v>
      </c>
      <c r="E125" s="137" t="s">
        <v>90</v>
      </c>
      <c r="F125" s="794" t="s">
        <v>90</v>
      </c>
      <c r="G125" s="137" t="s">
        <v>90</v>
      </c>
      <c r="H125" s="137" t="s">
        <v>90</v>
      </c>
      <c r="I125" s="137" t="s">
        <v>90</v>
      </c>
      <c r="J125" s="137" t="s">
        <v>90</v>
      </c>
      <c r="K125" s="786" t="s">
        <v>709</v>
      </c>
      <c r="L125" s="788">
        <f t="shared" si="28"/>
        <v>0.25</v>
      </c>
      <c r="M125" s="788">
        <f t="shared" si="29"/>
        <v>0.1</v>
      </c>
      <c r="N125" s="788">
        <f t="shared" si="30"/>
        <v>0.25</v>
      </c>
      <c r="P125" s="699" t="s">
        <v>87</v>
      </c>
      <c r="R125" s="785">
        <v>2</v>
      </c>
      <c r="S125" s="743">
        <v>1</v>
      </c>
      <c r="AJ125" s="700"/>
      <c r="AK125" s="761"/>
      <c r="AL125" s="702"/>
      <c r="AM125" s="795"/>
      <c r="AN125" s="795"/>
      <c r="AO125" s="795"/>
      <c r="AP125" s="699" t="s">
        <v>87</v>
      </c>
      <c r="AQ125" s="719"/>
    </row>
    <row r="126" spans="1:43" ht="14.25" x14ac:dyDescent="0.2">
      <c r="A126" s="641" t="s">
        <v>832</v>
      </c>
      <c r="B126" s="169">
        <v>3</v>
      </c>
      <c r="C126" s="285" t="str">
        <f t="shared" si="26"/>
        <v>-</v>
      </c>
      <c r="D126" s="739" t="str">
        <f t="shared" si="27"/>
        <v>-</v>
      </c>
      <c r="E126" s="137" t="s">
        <v>90</v>
      </c>
      <c r="F126" s="794" t="s">
        <v>90</v>
      </c>
      <c r="G126" s="137" t="s">
        <v>90</v>
      </c>
      <c r="H126" s="137" t="s">
        <v>90</v>
      </c>
      <c r="I126" s="137" t="s">
        <v>90</v>
      </c>
      <c r="J126" s="137" t="s">
        <v>90</v>
      </c>
      <c r="K126" s="786" t="s">
        <v>709</v>
      </c>
      <c r="L126" s="788">
        <f t="shared" si="28"/>
        <v>0.25</v>
      </c>
      <c r="M126" s="788">
        <f t="shared" si="29"/>
        <v>0.1</v>
      </c>
      <c r="N126" s="788">
        <f t="shared" si="30"/>
        <v>0.25</v>
      </c>
      <c r="P126" s="699" t="s">
        <v>87</v>
      </c>
      <c r="R126" s="785">
        <v>2</v>
      </c>
      <c r="S126" s="743">
        <v>1</v>
      </c>
      <c r="AJ126" s="700"/>
      <c r="AK126" s="761"/>
      <c r="AL126" s="702"/>
      <c r="AM126" s="795"/>
      <c r="AN126" s="795"/>
      <c r="AO126" s="795"/>
      <c r="AP126" s="699" t="s">
        <v>87</v>
      </c>
      <c r="AQ126" s="719"/>
    </row>
    <row r="127" spans="1:43" ht="14.25" x14ac:dyDescent="0.2">
      <c r="A127" s="641" t="s">
        <v>833</v>
      </c>
      <c r="B127" s="169">
        <v>4</v>
      </c>
      <c r="C127" s="285" t="str">
        <f t="shared" si="26"/>
        <v>-</v>
      </c>
      <c r="D127" s="739" t="str">
        <f t="shared" si="27"/>
        <v>-</v>
      </c>
      <c r="E127" s="137" t="s">
        <v>90</v>
      </c>
      <c r="F127" s="794" t="s">
        <v>90</v>
      </c>
      <c r="G127" s="137" t="s">
        <v>90</v>
      </c>
      <c r="H127" s="137" t="s">
        <v>90</v>
      </c>
      <c r="I127" s="794" t="s">
        <v>90</v>
      </c>
      <c r="J127" s="137" t="s">
        <v>90</v>
      </c>
      <c r="K127" s="786" t="s">
        <v>350</v>
      </c>
      <c r="L127" s="788">
        <f t="shared" si="28"/>
        <v>0.25</v>
      </c>
      <c r="M127" s="788">
        <f t="shared" si="29"/>
        <v>0.1</v>
      </c>
      <c r="N127" s="788">
        <f t="shared" si="30"/>
        <v>0.5</v>
      </c>
      <c r="P127" s="699" t="s">
        <v>87</v>
      </c>
      <c r="R127" s="785">
        <v>2</v>
      </c>
      <c r="S127" s="743">
        <v>1</v>
      </c>
      <c r="AJ127" s="700"/>
      <c r="AK127" s="761"/>
      <c r="AL127" s="702"/>
      <c r="AM127" s="795"/>
      <c r="AN127" s="795"/>
      <c r="AO127" s="795"/>
      <c r="AP127" s="699" t="s">
        <v>87</v>
      </c>
      <c r="AQ127" s="719"/>
    </row>
    <row r="128" spans="1:43" ht="14.25" x14ac:dyDescent="0.2">
      <c r="A128" s="641" t="s">
        <v>834</v>
      </c>
      <c r="B128" s="169">
        <v>5</v>
      </c>
      <c r="C128" s="285" t="str">
        <f t="shared" si="26"/>
        <v>-</v>
      </c>
      <c r="D128" s="739" t="str">
        <f t="shared" si="27"/>
        <v>-</v>
      </c>
      <c r="E128" s="137" t="s">
        <v>90</v>
      </c>
      <c r="F128" s="794" t="s">
        <v>90</v>
      </c>
      <c r="G128" s="137" t="s">
        <v>90</v>
      </c>
      <c r="H128" s="137" t="s">
        <v>90</v>
      </c>
      <c r="I128" s="794" t="s">
        <v>90</v>
      </c>
      <c r="J128" s="137" t="s">
        <v>90</v>
      </c>
      <c r="K128" s="786" t="s">
        <v>350</v>
      </c>
      <c r="L128" s="788">
        <f t="shared" si="28"/>
        <v>0.3</v>
      </c>
      <c r="M128" s="788">
        <f t="shared" si="29"/>
        <v>0.2</v>
      </c>
      <c r="N128" s="788">
        <f t="shared" si="30"/>
        <v>0.5</v>
      </c>
      <c r="P128" s="699" t="s">
        <v>87</v>
      </c>
      <c r="R128" s="785">
        <v>3</v>
      </c>
      <c r="S128" s="743">
        <v>2</v>
      </c>
      <c r="AJ128" s="700"/>
      <c r="AK128" s="761"/>
      <c r="AL128" s="702"/>
      <c r="AM128" s="795"/>
      <c r="AN128" s="795"/>
      <c r="AO128" s="795"/>
      <c r="AP128" s="699" t="s">
        <v>87</v>
      </c>
      <c r="AQ128" s="719"/>
    </row>
    <row r="129" spans="1:43" ht="14.25" x14ac:dyDescent="0.2">
      <c r="A129" s="641" t="s">
        <v>835</v>
      </c>
      <c r="B129" s="169">
        <v>6</v>
      </c>
      <c r="C129" s="285" t="str">
        <f t="shared" si="26"/>
        <v>-</v>
      </c>
      <c r="D129" s="739" t="str">
        <f t="shared" si="27"/>
        <v>-</v>
      </c>
      <c r="E129" s="137" t="s">
        <v>90</v>
      </c>
      <c r="F129" s="794" t="s">
        <v>90</v>
      </c>
      <c r="G129" s="137" t="s">
        <v>90</v>
      </c>
      <c r="H129" s="137" t="s">
        <v>90</v>
      </c>
      <c r="I129" s="794" t="s">
        <v>90</v>
      </c>
      <c r="J129" s="137" t="s">
        <v>90</v>
      </c>
      <c r="K129" s="786" t="s">
        <v>709</v>
      </c>
      <c r="L129" s="788">
        <f t="shared" si="28"/>
        <v>0.3</v>
      </c>
      <c r="M129" s="788">
        <f t="shared" si="29"/>
        <v>0.2</v>
      </c>
      <c r="N129" s="788">
        <f t="shared" si="30"/>
        <v>0.25</v>
      </c>
      <c r="P129" s="699" t="s">
        <v>87</v>
      </c>
      <c r="R129" s="785">
        <v>3</v>
      </c>
      <c r="S129" s="743">
        <v>2</v>
      </c>
      <c r="AJ129" s="700"/>
      <c r="AK129" s="761"/>
      <c r="AL129" s="702"/>
      <c r="AM129" s="795"/>
      <c r="AN129" s="795"/>
      <c r="AO129" s="795"/>
      <c r="AP129" s="699" t="s">
        <v>87</v>
      </c>
      <c r="AQ129" s="719"/>
    </row>
    <row r="130" spans="1:43" ht="14.25" x14ac:dyDescent="0.2">
      <c r="A130" s="641" t="s">
        <v>836</v>
      </c>
      <c r="B130" s="169">
        <v>7</v>
      </c>
      <c r="C130" s="285" t="str">
        <f t="shared" si="26"/>
        <v>-</v>
      </c>
      <c r="D130" s="739" t="str">
        <f t="shared" si="27"/>
        <v>-</v>
      </c>
      <c r="E130" s="137" t="s">
        <v>90</v>
      </c>
      <c r="F130" s="794" t="s">
        <v>90</v>
      </c>
      <c r="G130" s="137" t="s">
        <v>90</v>
      </c>
      <c r="H130" s="137" t="s">
        <v>90</v>
      </c>
      <c r="I130" s="794" t="s">
        <v>90</v>
      </c>
      <c r="J130" s="137" t="s">
        <v>90</v>
      </c>
      <c r="K130" s="786" t="s">
        <v>709</v>
      </c>
      <c r="L130" s="788">
        <f t="shared" si="28"/>
        <v>0.3</v>
      </c>
      <c r="M130" s="788">
        <f t="shared" si="29"/>
        <v>0.2</v>
      </c>
      <c r="N130" s="788">
        <f t="shared" si="30"/>
        <v>0.25</v>
      </c>
      <c r="P130" s="699" t="s">
        <v>87</v>
      </c>
      <c r="R130" s="785">
        <v>3</v>
      </c>
      <c r="S130" s="743">
        <v>2</v>
      </c>
      <c r="AJ130" s="700"/>
      <c r="AK130" s="761"/>
      <c r="AL130" s="702"/>
      <c r="AM130" s="795"/>
      <c r="AN130" s="795"/>
      <c r="AO130" s="795"/>
      <c r="AP130" s="699" t="s">
        <v>87</v>
      </c>
      <c r="AQ130" s="719"/>
    </row>
    <row r="131" spans="1:43" ht="14.25" x14ac:dyDescent="0.2">
      <c r="A131" s="641" t="s">
        <v>837</v>
      </c>
      <c r="B131" s="169">
        <v>8</v>
      </c>
      <c r="C131" s="285" t="str">
        <f t="shared" si="26"/>
        <v>-</v>
      </c>
      <c r="D131" s="739" t="str">
        <f t="shared" si="27"/>
        <v>-</v>
      </c>
      <c r="E131" s="137" t="s">
        <v>90</v>
      </c>
      <c r="F131" s="794" t="s">
        <v>90</v>
      </c>
      <c r="G131" s="137" t="s">
        <v>90</v>
      </c>
      <c r="H131" s="137" t="s">
        <v>90</v>
      </c>
      <c r="I131" s="794" t="s">
        <v>90</v>
      </c>
      <c r="J131" s="137" t="s">
        <v>90</v>
      </c>
      <c r="K131" s="786" t="s">
        <v>707</v>
      </c>
      <c r="L131" s="788">
        <f t="shared" si="28"/>
        <v>0.3</v>
      </c>
      <c r="M131" s="788">
        <f t="shared" si="29"/>
        <v>0.2</v>
      </c>
      <c r="N131" s="788">
        <f t="shared" si="30"/>
        <v>0.75</v>
      </c>
      <c r="P131" s="699" t="s">
        <v>87</v>
      </c>
      <c r="R131" s="785">
        <v>3</v>
      </c>
      <c r="S131" s="743">
        <v>2</v>
      </c>
      <c r="AJ131" s="700"/>
      <c r="AK131" s="761"/>
      <c r="AL131" s="702"/>
      <c r="AM131" s="795"/>
      <c r="AN131" s="795"/>
      <c r="AO131" s="795"/>
      <c r="AP131" s="699" t="s">
        <v>87</v>
      </c>
      <c r="AQ131" s="719"/>
    </row>
    <row r="132" spans="1:43" ht="14.25" x14ac:dyDescent="0.2">
      <c r="A132" s="641" t="s">
        <v>838</v>
      </c>
      <c r="B132" s="169">
        <v>9</v>
      </c>
      <c r="C132" s="285" t="str">
        <f t="shared" si="26"/>
        <v>-</v>
      </c>
      <c r="D132" s="739" t="str">
        <f t="shared" si="27"/>
        <v>-</v>
      </c>
      <c r="E132" s="137" t="s">
        <v>90</v>
      </c>
      <c r="F132" s="794" t="s">
        <v>90</v>
      </c>
      <c r="G132" s="137" t="s">
        <v>90</v>
      </c>
      <c r="H132" s="137" t="s">
        <v>90</v>
      </c>
      <c r="I132" s="794" t="s">
        <v>90</v>
      </c>
      <c r="J132" s="137" t="s">
        <v>90</v>
      </c>
      <c r="K132" s="786" t="s">
        <v>350</v>
      </c>
      <c r="L132" s="788">
        <f t="shared" si="28"/>
        <v>0.3</v>
      </c>
      <c r="M132" s="788">
        <f t="shared" si="29"/>
        <v>0.2</v>
      </c>
      <c r="N132" s="788">
        <f t="shared" si="30"/>
        <v>0.5</v>
      </c>
      <c r="P132" s="699" t="s">
        <v>87</v>
      </c>
      <c r="R132" s="785">
        <v>3</v>
      </c>
      <c r="S132" s="743">
        <v>2</v>
      </c>
      <c r="AJ132" s="700"/>
      <c r="AK132" s="761"/>
      <c r="AL132" s="702"/>
      <c r="AM132" s="795"/>
      <c r="AN132" s="795"/>
      <c r="AO132" s="795"/>
      <c r="AP132" s="699" t="s">
        <v>87</v>
      </c>
      <c r="AQ132" s="719"/>
    </row>
    <row r="133" spans="1:43" ht="14.25" x14ac:dyDescent="0.2">
      <c r="A133" s="641" t="s">
        <v>839</v>
      </c>
      <c r="B133" s="169">
        <v>10</v>
      </c>
      <c r="C133" s="285" t="str">
        <f t="shared" si="26"/>
        <v>-</v>
      </c>
      <c r="D133" s="739" t="str">
        <f t="shared" si="27"/>
        <v>-</v>
      </c>
      <c r="E133" s="137" t="s">
        <v>90</v>
      </c>
      <c r="F133" s="794" t="s">
        <v>90</v>
      </c>
      <c r="G133" s="137" t="s">
        <v>90</v>
      </c>
      <c r="H133" s="137" t="s">
        <v>90</v>
      </c>
      <c r="I133" s="794" t="s">
        <v>90</v>
      </c>
      <c r="J133" s="137" t="s">
        <v>90</v>
      </c>
      <c r="K133" s="786" t="s">
        <v>350</v>
      </c>
      <c r="L133" s="788">
        <f t="shared" si="28"/>
        <v>0.3</v>
      </c>
      <c r="M133" s="788">
        <f t="shared" si="29"/>
        <v>0.2</v>
      </c>
      <c r="N133" s="788">
        <f t="shared" si="30"/>
        <v>0.5</v>
      </c>
      <c r="P133" s="699" t="s">
        <v>87</v>
      </c>
      <c r="R133" s="785">
        <v>3</v>
      </c>
      <c r="S133" s="743">
        <v>2</v>
      </c>
      <c r="AJ133" s="700"/>
      <c r="AK133" s="761"/>
      <c r="AL133" s="702"/>
      <c r="AM133" s="795"/>
      <c r="AN133" s="795"/>
      <c r="AO133" s="795"/>
      <c r="AP133" s="699" t="s">
        <v>87</v>
      </c>
      <c r="AQ133" s="719"/>
    </row>
    <row r="134" spans="1:43" ht="14.25" x14ac:dyDescent="0.2">
      <c r="A134" s="641" t="s">
        <v>782</v>
      </c>
      <c r="B134" s="169">
        <v>11</v>
      </c>
      <c r="C134" s="285" t="str">
        <f t="shared" si="26"/>
        <v>-</v>
      </c>
      <c r="D134" s="739" t="str">
        <f t="shared" si="27"/>
        <v>-</v>
      </c>
      <c r="E134" s="137" t="s">
        <v>90</v>
      </c>
      <c r="F134" s="794" t="s">
        <v>90</v>
      </c>
      <c r="G134" s="137" t="s">
        <v>90</v>
      </c>
      <c r="H134" s="137" t="s">
        <v>90</v>
      </c>
      <c r="I134" s="794" t="s">
        <v>90</v>
      </c>
      <c r="J134" s="137" t="s">
        <v>90</v>
      </c>
      <c r="K134" s="786" t="s">
        <v>706</v>
      </c>
      <c r="L134" s="788">
        <f t="shared" si="28"/>
        <v>0.45</v>
      </c>
      <c r="M134" s="788">
        <f t="shared" si="29"/>
        <v>0.3</v>
      </c>
      <c r="N134" s="788">
        <f t="shared" si="30"/>
        <v>0.75</v>
      </c>
      <c r="P134" s="699" t="s">
        <v>87</v>
      </c>
      <c r="R134" s="785">
        <v>5</v>
      </c>
      <c r="S134" s="743">
        <v>4</v>
      </c>
      <c r="AJ134" s="700"/>
      <c r="AK134" s="761"/>
      <c r="AL134" s="702"/>
      <c r="AM134" s="795"/>
      <c r="AN134" s="795"/>
      <c r="AO134" s="795"/>
      <c r="AP134" s="699" t="s">
        <v>87</v>
      </c>
      <c r="AQ134" s="719"/>
    </row>
    <row r="135" spans="1:43" ht="14.25" x14ac:dyDescent="0.2">
      <c r="A135" s="641" t="s">
        <v>840</v>
      </c>
      <c r="B135" s="169">
        <v>12</v>
      </c>
      <c r="C135" s="285" t="str">
        <f t="shared" si="26"/>
        <v>-</v>
      </c>
      <c r="D135" s="739" t="str">
        <f t="shared" si="27"/>
        <v>-</v>
      </c>
      <c r="E135" s="137" t="s">
        <v>90</v>
      </c>
      <c r="F135" s="794" t="s">
        <v>90</v>
      </c>
      <c r="G135" s="137" t="s">
        <v>90</v>
      </c>
      <c r="H135" s="137" t="s">
        <v>90</v>
      </c>
      <c r="I135" s="794" t="s">
        <v>90</v>
      </c>
      <c r="J135" s="137" t="s">
        <v>90</v>
      </c>
      <c r="K135" s="786" t="s">
        <v>710</v>
      </c>
      <c r="L135" s="788">
        <f t="shared" si="28"/>
        <v>0.45</v>
      </c>
      <c r="M135" s="788">
        <f t="shared" si="29"/>
        <v>0.3</v>
      </c>
      <c r="N135" s="788">
        <f t="shared" si="30"/>
        <v>0.75</v>
      </c>
      <c r="P135" s="699" t="s">
        <v>87</v>
      </c>
      <c r="R135" s="785">
        <v>5</v>
      </c>
      <c r="S135" s="743">
        <v>4</v>
      </c>
      <c r="AJ135" s="700"/>
      <c r="AK135" s="761"/>
      <c r="AL135" s="702"/>
      <c r="AM135" s="795"/>
      <c r="AN135" s="795"/>
      <c r="AO135" s="795"/>
      <c r="AP135" s="699" t="s">
        <v>87</v>
      </c>
      <c r="AQ135" s="719"/>
    </row>
    <row r="136" spans="1:43" ht="14.25" x14ac:dyDescent="0.2">
      <c r="A136" s="641" t="s">
        <v>841</v>
      </c>
      <c r="B136" s="169">
        <v>13</v>
      </c>
      <c r="C136" s="285" t="str">
        <f t="shared" si="26"/>
        <v>-</v>
      </c>
      <c r="D136" s="739" t="str">
        <f t="shared" si="27"/>
        <v>-</v>
      </c>
      <c r="E136" s="137" t="s">
        <v>90</v>
      </c>
      <c r="F136" s="794" t="s">
        <v>90</v>
      </c>
      <c r="G136" s="137" t="s">
        <v>90</v>
      </c>
      <c r="H136" s="137" t="s">
        <v>90</v>
      </c>
      <c r="I136" s="794" t="s">
        <v>90</v>
      </c>
      <c r="J136" s="137" t="s">
        <v>90</v>
      </c>
      <c r="K136" s="786" t="s">
        <v>710</v>
      </c>
      <c r="L136" s="788">
        <f t="shared" si="28"/>
        <v>0.45</v>
      </c>
      <c r="M136" s="788">
        <f t="shared" si="29"/>
        <v>0.3</v>
      </c>
      <c r="N136" s="788">
        <f t="shared" si="30"/>
        <v>0.75</v>
      </c>
      <c r="P136" s="699" t="s">
        <v>87</v>
      </c>
      <c r="R136" s="785">
        <v>5</v>
      </c>
      <c r="S136" s="743">
        <v>4</v>
      </c>
      <c r="AJ136" s="700"/>
      <c r="AK136" s="761"/>
      <c r="AL136" s="702"/>
      <c r="AM136" s="795"/>
      <c r="AN136" s="795"/>
      <c r="AO136" s="795"/>
      <c r="AP136" s="699" t="s">
        <v>87</v>
      </c>
      <c r="AQ136" s="719"/>
    </row>
    <row r="137" spans="1:43" ht="14.25" x14ac:dyDescent="0.2">
      <c r="A137" s="641" t="s">
        <v>842</v>
      </c>
      <c r="B137" s="169">
        <v>14</v>
      </c>
      <c r="C137" s="285" t="str">
        <f t="shared" si="26"/>
        <v>-</v>
      </c>
      <c r="D137" s="739" t="str">
        <f t="shared" si="27"/>
        <v>-</v>
      </c>
      <c r="E137" s="137" t="s">
        <v>90</v>
      </c>
      <c r="F137" s="794" t="s">
        <v>90</v>
      </c>
      <c r="G137" s="137" t="s">
        <v>90</v>
      </c>
      <c r="H137" s="137" t="s">
        <v>90</v>
      </c>
      <c r="I137" s="794" t="s">
        <v>90</v>
      </c>
      <c r="J137" s="137" t="s">
        <v>90</v>
      </c>
      <c r="K137" s="786" t="s">
        <v>710</v>
      </c>
      <c r="L137" s="788">
        <f t="shared" si="28"/>
        <v>0.45</v>
      </c>
      <c r="M137" s="788">
        <f t="shared" si="29"/>
        <v>0.3</v>
      </c>
      <c r="N137" s="788">
        <f t="shared" si="30"/>
        <v>0.75</v>
      </c>
      <c r="P137" s="699" t="s">
        <v>87</v>
      </c>
      <c r="R137" s="785">
        <v>5</v>
      </c>
      <c r="S137" s="743">
        <v>4</v>
      </c>
      <c r="AJ137" s="700"/>
      <c r="AK137" s="761"/>
      <c r="AL137" s="702"/>
      <c r="AM137" s="795"/>
      <c r="AN137" s="795"/>
      <c r="AO137" s="795"/>
      <c r="AP137" s="699" t="s">
        <v>87</v>
      </c>
      <c r="AQ137" s="719"/>
    </row>
    <row r="138" spans="1:43" ht="14.25" x14ac:dyDescent="0.2">
      <c r="A138" s="641" t="s">
        <v>843</v>
      </c>
      <c r="B138" s="169">
        <v>15</v>
      </c>
      <c r="C138" s="285" t="str">
        <f t="shared" si="26"/>
        <v>-</v>
      </c>
      <c r="D138" s="739" t="str">
        <f t="shared" si="27"/>
        <v>-</v>
      </c>
      <c r="E138" s="137" t="s">
        <v>90</v>
      </c>
      <c r="F138" s="794" t="s">
        <v>90</v>
      </c>
      <c r="G138" s="137" t="s">
        <v>90</v>
      </c>
      <c r="H138" s="137" t="s">
        <v>90</v>
      </c>
      <c r="I138" s="794" t="s">
        <v>90</v>
      </c>
      <c r="J138" s="137" t="s">
        <v>90</v>
      </c>
      <c r="K138" s="786" t="s">
        <v>710</v>
      </c>
      <c r="L138" s="788">
        <f t="shared" si="28"/>
        <v>0.45</v>
      </c>
      <c r="M138" s="788">
        <f t="shared" si="29"/>
        <v>0.3</v>
      </c>
      <c r="N138" s="788">
        <f t="shared" si="30"/>
        <v>0.75</v>
      </c>
      <c r="P138" s="699" t="s">
        <v>87</v>
      </c>
      <c r="R138" s="785">
        <v>5</v>
      </c>
      <c r="S138" s="743">
        <v>4</v>
      </c>
      <c r="AJ138" s="700"/>
      <c r="AK138" s="761"/>
      <c r="AL138" s="702"/>
      <c r="AM138" s="795"/>
      <c r="AN138" s="795"/>
      <c r="AO138" s="795"/>
      <c r="AP138" s="699" t="s">
        <v>87</v>
      </c>
      <c r="AQ138" s="719"/>
    </row>
    <row r="139" spans="1:43" ht="14.25" x14ac:dyDescent="0.2">
      <c r="A139" s="641" t="s">
        <v>844</v>
      </c>
      <c r="B139" s="169">
        <v>16</v>
      </c>
      <c r="C139" s="285" t="str">
        <f t="shared" si="26"/>
        <v>-</v>
      </c>
      <c r="D139" s="739" t="str">
        <f t="shared" si="27"/>
        <v>-</v>
      </c>
      <c r="E139" s="137" t="s">
        <v>90</v>
      </c>
      <c r="F139" s="794" t="s">
        <v>90</v>
      </c>
      <c r="G139" s="137" t="s">
        <v>90</v>
      </c>
      <c r="H139" s="137" t="s">
        <v>90</v>
      </c>
      <c r="I139" s="794" t="s">
        <v>90</v>
      </c>
      <c r="J139" s="137" t="s">
        <v>90</v>
      </c>
      <c r="K139" s="786" t="s">
        <v>350</v>
      </c>
      <c r="L139" s="788">
        <f t="shared" si="28"/>
        <v>0.45</v>
      </c>
      <c r="M139" s="788">
        <f t="shared" si="29"/>
        <v>0.3</v>
      </c>
      <c r="N139" s="788">
        <f t="shared" si="30"/>
        <v>0.5</v>
      </c>
      <c r="P139" s="699" t="s">
        <v>87</v>
      </c>
      <c r="R139" s="785">
        <v>5</v>
      </c>
      <c r="S139" s="743">
        <v>4</v>
      </c>
      <c r="AJ139" s="700"/>
      <c r="AK139" s="761"/>
      <c r="AL139" s="702"/>
      <c r="AM139" s="795"/>
      <c r="AN139" s="795"/>
      <c r="AO139" s="795"/>
      <c r="AP139" s="699" t="s">
        <v>87</v>
      </c>
      <c r="AQ139" s="719"/>
    </row>
    <row r="140" spans="1:43" ht="14.25" x14ac:dyDescent="0.2">
      <c r="A140" s="641" t="s">
        <v>845</v>
      </c>
      <c r="B140" s="169">
        <v>17</v>
      </c>
      <c r="C140" s="285" t="str">
        <f t="shared" si="26"/>
        <v>-</v>
      </c>
      <c r="D140" s="739" t="str">
        <f t="shared" si="27"/>
        <v>-</v>
      </c>
      <c r="E140" s="137" t="s">
        <v>90</v>
      </c>
      <c r="F140" s="794" t="s">
        <v>90</v>
      </c>
      <c r="G140" s="137" t="s">
        <v>90</v>
      </c>
      <c r="H140" s="137" t="s">
        <v>90</v>
      </c>
      <c r="I140" s="794" t="s">
        <v>90</v>
      </c>
      <c r="J140" s="137" t="s">
        <v>90</v>
      </c>
      <c r="K140" s="786" t="s">
        <v>709</v>
      </c>
      <c r="L140" s="788">
        <f t="shared" si="28"/>
        <v>0.25</v>
      </c>
      <c r="M140" s="788">
        <f t="shared" si="29"/>
        <v>0.1</v>
      </c>
      <c r="N140" s="788">
        <f t="shared" si="30"/>
        <v>0.25</v>
      </c>
      <c r="P140" s="699" t="s">
        <v>87</v>
      </c>
      <c r="R140" s="785">
        <v>2</v>
      </c>
      <c r="S140" s="743">
        <v>1</v>
      </c>
      <c r="AJ140" s="700"/>
      <c r="AK140" s="761"/>
      <c r="AL140" s="702"/>
      <c r="AM140" s="795"/>
      <c r="AN140" s="795"/>
      <c r="AO140" s="795"/>
      <c r="AP140" s="699" t="s">
        <v>87</v>
      </c>
      <c r="AQ140" s="719"/>
    </row>
    <row r="141" spans="1:43" ht="14.25" x14ac:dyDescent="0.2">
      <c r="A141" s="641" t="s">
        <v>846</v>
      </c>
      <c r="B141" s="169">
        <v>18</v>
      </c>
      <c r="C141" s="285" t="str">
        <f t="shared" si="26"/>
        <v>-</v>
      </c>
      <c r="D141" s="739" t="str">
        <f t="shared" si="27"/>
        <v>-</v>
      </c>
      <c r="E141" s="137" t="s">
        <v>90</v>
      </c>
      <c r="F141" s="794" t="s">
        <v>90</v>
      </c>
      <c r="G141" s="137" t="s">
        <v>90</v>
      </c>
      <c r="H141" s="137" t="s">
        <v>90</v>
      </c>
      <c r="I141" s="794" t="s">
        <v>90</v>
      </c>
      <c r="J141" s="137" t="s">
        <v>90</v>
      </c>
      <c r="K141" s="786" t="s">
        <v>709</v>
      </c>
      <c r="L141" s="788">
        <f t="shared" si="28"/>
        <v>0.25</v>
      </c>
      <c r="M141" s="788">
        <f t="shared" si="29"/>
        <v>0.1</v>
      </c>
      <c r="N141" s="788">
        <f t="shared" si="30"/>
        <v>0.25</v>
      </c>
      <c r="P141" s="699" t="s">
        <v>87</v>
      </c>
      <c r="R141" s="785">
        <v>2</v>
      </c>
      <c r="S141" s="743">
        <v>1</v>
      </c>
      <c r="AJ141" s="700"/>
      <c r="AK141" s="761"/>
      <c r="AL141" s="702"/>
      <c r="AM141" s="795"/>
      <c r="AN141" s="795"/>
      <c r="AO141" s="795"/>
      <c r="AP141" s="699" t="s">
        <v>87</v>
      </c>
      <c r="AQ141" s="719"/>
    </row>
    <row r="142" spans="1:43" ht="14.25" x14ac:dyDescent="0.2">
      <c r="A142" s="641" t="s">
        <v>847</v>
      </c>
      <c r="B142" s="169">
        <v>19</v>
      </c>
      <c r="C142" s="285" t="str">
        <f t="shared" si="26"/>
        <v>-</v>
      </c>
      <c r="D142" s="739" t="str">
        <f t="shared" si="27"/>
        <v>-</v>
      </c>
      <c r="E142" s="137" t="s">
        <v>90</v>
      </c>
      <c r="F142" s="794" t="s">
        <v>90</v>
      </c>
      <c r="G142" s="137" t="s">
        <v>90</v>
      </c>
      <c r="H142" s="137" t="s">
        <v>90</v>
      </c>
      <c r="I142" s="794" t="s">
        <v>90</v>
      </c>
      <c r="J142" s="137" t="s">
        <v>90</v>
      </c>
      <c r="K142" s="786" t="s">
        <v>709</v>
      </c>
      <c r="L142" s="788">
        <f t="shared" si="28"/>
        <v>0.25</v>
      </c>
      <c r="M142" s="788">
        <f t="shared" si="29"/>
        <v>0.1</v>
      </c>
      <c r="N142" s="788">
        <f t="shared" si="30"/>
        <v>0.25</v>
      </c>
      <c r="P142" s="699" t="s">
        <v>87</v>
      </c>
      <c r="R142" s="785">
        <v>2</v>
      </c>
      <c r="S142" s="743">
        <v>1</v>
      </c>
      <c r="AJ142" s="700"/>
      <c r="AK142" s="761"/>
      <c r="AL142" s="702"/>
      <c r="AM142" s="795"/>
      <c r="AN142" s="795"/>
      <c r="AO142" s="795"/>
      <c r="AP142" s="699" t="s">
        <v>87</v>
      </c>
      <c r="AQ142" s="719"/>
    </row>
    <row r="143" spans="1:43" ht="14.25" x14ac:dyDescent="0.2">
      <c r="A143" s="641" t="s">
        <v>848</v>
      </c>
      <c r="B143" s="169">
        <v>20</v>
      </c>
      <c r="C143" s="285" t="str">
        <f t="shared" si="26"/>
        <v>-</v>
      </c>
      <c r="D143" s="739" t="str">
        <f t="shared" si="27"/>
        <v>-</v>
      </c>
      <c r="E143" s="137" t="s">
        <v>90</v>
      </c>
      <c r="F143" s="794" t="s">
        <v>90</v>
      </c>
      <c r="G143" s="137" t="s">
        <v>90</v>
      </c>
      <c r="H143" s="137" t="s">
        <v>90</v>
      </c>
      <c r="I143" s="794" t="s">
        <v>90</v>
      </c>
      <c r="J143" s="137" t="s">
        <v>90</v>
      </c>
      <c r="K143" s="786" t="s">
        <v>350</v>
      </c>
      <c r="L143" s="788">
        <f t="shared" si="28"/>
        <v>0.25</v>
      </c>
      <c r="M143" s="788">
        <f t="shared" si="29"/>
        <v>0.1</v>
      </c>
      <c r="N143" s="788">
        <f t="shared" si="30"/>
        <v>0.5</v>
      </c>
      <c r="P143" s="699" t="s">
        <v>87</v>
      </c>
      <c r="R143" s="785">
        <v>2</v>
      </c>
      <c r="S143" s="743">
        <v>1</v>
      </c>
      <c r="AJ143" s="700"/>
      <c r="AK143" s="761"/>
      <c r="AL143" s="702"/>
      <c r="AM143" s="795"/>
      <c r="AN143" s="795"/>
      <c r="AO143" s="795"/>
      <c r="AP143" s="699" t="s">
        <v>87</v>
      </c>
      <c r="AQ143" s="719"/>
    </row>
    <row r="144" spans="1:43" ht="14.25" x14ac:dyDescent="0.2">
      <c r="A144" s="641" t="s">
        <v>849</v>
      </c>
      <c r="B144" s="169">
        <v>21</v>
      </c>
      <c r="C144" s="285" t="str">
        <f t="shared" si="26"/>
        <v>-</v>
      </c>
      <c r="D144" s="739" t="str">
        <f t="shared" si="27"/>
        <v>-</v>
      </c>
      <c r="E144" s="137" t="s">
        <v>90</v>
      </c>
      <c r="F144" s="794" t="s">
        <v>90</v>
      </c>
      <c r="G144" s="137" t="s">
        <v>90</v>
      </c>
      <c r="H144" s="137" t="s">
        <v>90</v>
      </c>
      <c r="I144" s="794" t="s">
        <v>90</v>
      </c>
      <c r="J144" s="137" t="s">
        <v>90</v>
      </c>
      <c r="K144" s="786" t="s">
        <v>350</v>
      </c>
      <c r="L144" s="788">
        <f t="shared" si="28"/>
        <v>0.3</v>
      </c>
      <c r="M144" s="788">
        <f t="shared" si="29"/>
        <v>0.2</v>
      </c>
      <c r="N144" s="788">
        <f t="shared" si="30"/>
        <v>0.5</v>
      </c>
      <c r="P144" s="699" t="s">
        <v>87</v>
      </c>
      <c r="R144" s="785">
        <v>3</v>
      </c>
      <c r="S144" s="743">
        <v>2</v>
      </c>
      <c r="AJ144" s="700"/>
      <c r="AK144" s="761"/>
      <c r="AL144" s="702"/>
      <c r="AM144" s="795"/>
      <c r="AN144" s="795"/>
      <c r="AO144" s="795"/>
      <c r="AP144" s="699" t="s">
        <v>87</v>
      </c>
      <c r="AQ144" s="719"/>
    </row>
    <row r="145" spans="1:43" ht="14.25" x14ac:dyDescent="0.2">
      <c r="A145" s="641" t="s">
        <v>850</v>
      </c>
      <c r="B145" s="169">
        <v>22</v>
      </c>
      <c r="C145" s="285" t="str">
        <f t="shared" si="26"/>
        <v>-</v>
      </c>
      <c r="D145" s="739" t="str">
        <f t="shared" si="27"/>
        <v>-</v>
      </c>
      <c r="E145" s="137" t="s">
        <v>90</v>
      </c>
      <c r="F145" s="794" t="s">
        <v>90</v>
      </c>
      <c r="G145" s="137" t="s">
        <v>90</v>
      </c>
      <c r="H145" s="137" t="s">
        <v>90</v>
      </c>
      <c r="I145" s="794" t="s">
        <v>90</v>
      </c>
      <c r="J145" s="137" t="s">
        <v>90</v>
      </c>
      <c r="K145" s="786" t="s">
        <v>709</v>
      </c>
      <c r="L145" s="788">
        <f t="shared" si="28"/>
        <v>0.3</v>
      </c>
      <c r="M145" s="788">
        <f t="shared" si="29"/>
        <v>0.2</v>
      </c>
      <c r="N145" s="788">
        <f t="shared" si="30"/>
        <v>0.25</v>
      </c>
      <c r="P145" s="699" t="s">
        <v>87</v>
      </c>
      <c r="R145" s="785">
        <v>3</v>
      </c>
      <c r="S145" s="743">
        <v>2</v>
      </c>
      <c r="AJ145" s="700"/>
      <c r="AK145" s="761"/>
      <c r="AL145" s="702"/>
      <c r="AM145" s="795"/>
      <c r="AN145" s="795"/>
      <c r="AO145" s="795"/>
      <c r="AP145" s="699" t="s">
        <v>87</v>
      </c>
      <c r="AQ145" s="719"/>
    </row>
    <row r="146" spans="1:43" ht="14.25" x14ac:dyDescent="0.2">
      <c r="A146" s="641" t="s">
        <v>851</v>
      </c>
      <c r="B146" s="169">
        <v>23</v>
      </c>
      <c r="C146" s="285" t="str">
        <f t="shared" si="26"/>
        <v>-</v>
      </c>
      <c r="D146" s="739" t="str">
        <f t="shared" si="27"/>
        <v>-</v>
      </c>
      <c r="E146" s="137" t="s">
        <v>90</v>
      </c>
      <c r="F146" s="794" t="s">
        <v>90</v>
      </c>
      <c r="G146" s="137" t="s">
        <v>90</v>
      </c>
      <c r="H146" s="137" t="s">
        <v>90</v>
      </c>
      <c r="I146" s="794" t="s">
        <v>90</v>
      </c>
      <c r="J146" s="137" t="s">
        <v>90</v>
      </c>
      <c r="K146" s="786" t="s">
        <v>709</v>
      </c>
      <c r="L146" s="788">
        <f t="shared" si="28"/>
        <v>0.3</v>
      </c>
      <c r="M146" s="788">
        <f t="shared" si="29"/>
        <v>0.2</v>
      </c>
      <c r="N146" s="788">
        <f t="shared" si="30"/>
        <v>0.25</v>
      </c>
      <c r="P146" s="699" t="s">
        <v>87</v>
      </c>
      <c r="R146" s="785">
        <v>3</v>
      </c>
      <c r="S146" s="743">
        <v>2</v>
      </c>
      <c r="AJ146" s="700"/>
      <c r="AK146" s="761"/>
      <c r="AL146" s="702"/>
      <c r="AM146" s="795"/>
      <c r="AN146" s="795"/>
      <c r="AO146" s="795"/>
      <c r="AP146" s="699" t="s">
        <v>87</v>
      </c>
      <c r="AQ146" s="719"/>
    </row>
    <row r="147" spans="1:43" ht="14.25" x14ac:dyDescent="0.2">
      <c r="A147" s="641" t="s">
        <v>852</v>
      </c>
      <c r="B147" s="169">
        <v>24</v>
      </c>
      <c r="C147" s="285" t="str">
        <f t="shared" si="26"/>
        <v>-</v>
      </c>
      <c r="D147" s="739" t="str">
        <f t="shared" si="27"/>
        <v>-</v>
      </c>
      <c r="E147" s="137" t="s">
        <v>90</v>
      </c>
      <c r="F147" s="794" t="s">
        <v>90</v>
      </c>
      <c r="G147" s="137" t="s">
        <v>90</v>
      </c>
      <c r="H147" s="137" t="s">
        <v>90</v>
      </c>
      <c r="I147" s="794" t="s">
        <v>90</v>
      </c>
      <c r="J147" s="137" t="s">
        <v>90</v>
      </c>
      <c r="K147" s="786" t="s">
        <v>707</v>
      </c>
      <c r="L147" s="788">
        <f t="shared" si="28"/>
        <v>0.3</v>
      </c>
      <c r="M147" s="788">
        <f t="shared" si="29"/>
        <v>0.2</v>
      </c>
      <c r="N147" s="788">
        <f t="shared" si="30"/>
        <v>0.75</v>
      </c>
      <c r="P147" s="699" t="s">
        <v>87</v>
      </c>
      <c r="R147" s="785">
        <v>3</v>
      </c>
      <c r="S147" s="743">
        <v>2</v>
      </c>
      <c r="AJ147" s="700"/>
      <c r="AK147" s="761"/>
      <c r="AL147" s="702"/>
      <c r="AM147" s="795"/>
      <c r="AN147" s="795"/>
      <c r="AO147" s="795"/>
      <c r="AP147" s="699" t="s">
        <v>87</v>
      </c>
      <c r="AQ147" s="719"/>
    </row>
    <row r="148" spans="1:43" ht="14.25" x14ac:dyDescent="0.2">
      <c r="A148" s="641" t="s">
        <v>853</v>
      </c>
      <c r="B148" s="169">
        <v>25</v>
      </c>
      <c r="C148" s="285" t="str">
        <f t="shared" si="26"/>
        <v>-</v>
      </c>
      <c r="D148" s="739" t="str">
        <f t="shared" si="27"/>
        <v>-</v>
      </c>
      <c r="E148" s="137" t="s">
        <v>90</v>
      </c>
      <c r="F148" s="794" t="s">
        <v>90</v>
      </c>
      <c r="G148" s="137" t="s">
        <v>90</v>
      </c>
      <c r="H148" s="137" t="s">
        <v>90</v>
      </c>
      <c r="I148" s="794" t="s">
        <v>90</v>
      </c>
      <c r="J148" s="137" t="s">
        <v>90</v>
      </c>
      <c r="K148" s="786" t="s">
        <v>350</v>
      </c>
      <c r="L148" s="788">
        <f t="shared" si="28"/>
        <v>0.3</v>
      </c>
      <c r="M148" s="788">
        <f t="shared" si="29"/>
        <v>0.2</v>
      </c>
      <c r="N148" s="788">
        <f t="shared" si="30"/>
        <v>0.5</v>
      </c>
      <c r="P148" s="699" t="s">
        <v>87</v>
      </c>
      <c r="R148" s="785">
        <v>3</v>
      </c>
      <c r="S148" s="743">
        <v>2</v>
      </c>
      <c r="AJ148" s="700"/>
      <c r="AK148" s="761"/>
      <c r="AL148" s="702"/>
      <c r="AM148" s="795"/>
      <c r="AN148" s="795"/>
      <c r="AO148" s="795"/>
      <c r="AP148" s="699" t="s">
        <v>87</v>
      </c>
      <c r="AQ148" s="719"/>
    </row>
    <row r="149" spans="1:43" ht="14.25" x14ac:dyDescent="0.2">
      <c r="A149" s="641" t="s">
        <v>854</v>
      </c>
      <c r="B149" s="169">
        <v>26</v>
      </c>
      <c r="C149" s="285" t="str">
        <f t="shared" si="26"/>
        <v>-</v>
      </c>
      <c r="D149" s="739" t="str">
        <f t="shared" si="27"/>
        <v>-</v>
      </c>
      <c r="E149" s="137" t="s">
        <v>90</v>
      </c>
      <c r="F149" s="794" t="s">
        <v>90</v>
      </c>
      <c r="G149" s="137" t="s">
        <v>90</v>
      </c>
      <c r="H149" s="137" t="s">
        <v>90</v>
      </c>
      <c r="I149" s="794" t="s">
        <v>90</v>
      </c>
      <c r="J149" s="137" t="s">
        <v>90</v>
      </c>
      <c r="K149" s="786" t="s">
        <v>350</v>
      </c>
      <c r="L149" s="788">
        <f t="shared" si="28"/>
        <v>0.3</v>
      </c>
      <c r="M149" s="788">
        <f t="shared" si="29"/>
        <v>0.2</v>
      </c>
      <c r="N149" s="788">
        <f t="shared" si="30"/>
        <v>0.5</v>
      </c>
      <c r="P149" s="699" t="s">
        <v>87</v>
      </c>
      <c r="R149" s="785">
        <v>3</v>
      </c>
      <c r="S149" s="743">
        <v>2</v>
      </c>
      <c r="AJ149" s="700"/>
      <c r="AK149" s="761"/>
      <c r="AL149" s="702"/>
      <c r="AM149" s="795"/>
      <c r="AN149" s="795"/>
      <c r="AO149" s="795"/>
      <c r="AP149" s="699" t="s">
        <v>87</v>
      </c>
      <c r="AQ149" s="719"/>
    </row>
    <row r="150" spans="1:43" ht="14.25" x14ac:dyDescent="0.2">
      <c r="A150" s="641" t="s">
        <v>855</v>
      </c>
      <c r="B150" s="169">
        <v>27</v>
      </c>
      <c r="C150" s="285" t="str">
        <f t="shared" si="26"/>
        <v>-</v>
      </c>
      <c r="D150" s="739" t="str">
        <f t="shared" si="27"/>
        <v>-</v>
      </c>
      <c r="E150" s="137" t="s">
        <v>90</v>
      </c>
      <c r="F150" s="794" t="s">
        <v>90</v>
      </c>
      <c r="G150" s="137" t="s">
        <v>90</v>
      </c>
      <c r="H150" s="137" t="s">
        <v>90</v>
      </c>
      <c r="I150" s="794" t="s">
        <v>90</v>
      </c>
      <c r="J150" s="137" t="s">
        <v>90</v>
      </c>
      <c r="K150" s="786" t="s">
        <v>706</v>
      </c>
      <c r="L150" s="788">
        <f t="shared" si="28"/>
        <v>0.45</v>
      </c>
      <c r="M150" s="788">
        <f t="shared" si="29"/>
        <v>0.3</v>
      </c>
      <c r="N150" s="788">
        <f t="shared" si="30"/>
        <v>0.75</v>
      </c>
      <c r="P150" s="699" t="s">
        <v>87</v>
      </c>
      <c r="R150" s="785">
        <v>5</v>
      </c>
      <c r="S150" s="743">
        <v>4</v>
      </c>
      <c r="AJ150" s="700"/>
      <c r="AK150" s="761"/>
      <c r="AL150" s="702"/>
      <c r="AM150" s="795"/>
      <c r="AN150" s="795"/>
      <c r="AO150" s="795"/>
      <c r="AP150" s="699" t="s">
        <v>87</v>
      </c>
      <c r="AQ150" s="719"/>
    </row>
    <row r="151" spans="1:43" ht="14.25" x14ac:dyDescent="0.2">
      <c r="A151" s="641" t="s">
        <v>856</v>
      </c>
      <c r="B151" s="169">
        <v>28</v>
      </c>
      <c r="C151" s="285" t="str">
        <f t="shared" si="26"/>
        <v>-</v>
      </c>
      <c r="D151" s="739" t="str">
        <f t="shared" si="27"/>
        <v>-</v>
      </c>
      <c r="E151" s="137" t="s">
        <v>90</v>
      </c>
      <c r="F151" s="794" t="s">
        <v>90</v>
      </c>
      <c r="G151" s="137" t="s">
        <v>90</v>
      </c>
      <c r="H151" s="137" t="s">
        <v>90</v>
      </c>
      <c r="I151" s="794" t="s">
        <v>90</v>
      </c>
      <c r="J151" s="137" t="s">
        <v>90</v>
      </c>
      <c r="K151" s="786" t="s">
        <v>710</v>
      </c>
      <c r="L151" s="788">
        <f t="shared" si="28"/>
        <v>0.45</v>
      </c>
      <c r="M151" s="788">
        <f t="shared" si="29"/>
        <v>0.3</v>
      </c>
      <c r="N151" s="788">
        <f t="shared" si="30"/>
        <v>0.75</v>
      </c>
      <c r="P151" s="699" t="s">
        <v>87</v>
      </c>
      <c r="R151" s="785">
        <v>5</v>
      </c>
      <c r="S151" s="743">
        <v>4</v>
      </c>
      <c r="AJ151" s="700"/>
      <c r="AK151" s="761"/>
      <c r="AL151" s="702"/>
      <c r="AM151" s="795"/>
      <c r="AN151" s="795"/>
      <c r="AO151" s="795"/>
      <c r="AP151" s="699" t="s">
        <v>87</v>
      </c>
      <c r="AQ151" s="719"/>
    </row>
    <row r="152" spans="1:43" ht="14.25" x14ac:dyDescent="0.2">
      <c r="A152" s="641" t="s">
        <v>857</v>
      </c>
      <c r="B152" s="169">
        <v>29</v>
      </c>
      <c r="C152" s="285" t="str">
        <f t="shared" si="26"/>
        <v>-</v>
      </c>
      <c r="D152" s="739" t="str">
        <f t="shared" si="27"/>
        <v>-</v>
      </c>
      <c r="E152" s="137" t="s">
        <v>90</v>
      </c>
      <c r="F152" s="794" t="s">
        <v>90</v>
      </c>
      <c r="G152" s="137" t="s">
        <v>90</v>
      </c>
      <c r="H152" s="137" t="s">
        <v>90</v>
      </c>
      <c r="I152" s="794" t="s">
        <v>90</v>
      </c>
      <c r="J152" s="137" t="s">
        <v>90</v>
      </c>
      <c r="K152" s="786" t="s">
        <v>710</v>
      </c>
      <c r="L152" s="788">
        <f t="shared" si="28"/>
        <v>0.45</v>
      </c>
      <c r="M152" s="788">
        <f t="shared" si="29"/>
        <v>0.3</v>
      </c>
      <c r="N152" s="788">
        <f t="shared" si="30"/>
        <v>0.75</v>
      </c>
      <c r="P152" s="699" t="s">
        <v>87</v>
      </c>
      <c r="R152" s="785">
        <v>5</v>
      </c>
      <c r="S152" s="743">
        <v>4</v>
      </c>
      <c r="AJ152" s="700"/>
      <c r="AK152" s="761"/>
      <c r="AL152" s="702"/>
      <c r="AM152" s="795"/>
      <c r="AN152" s="795"/>
      <c r="AO152" s="795"/>
      <c r="AP152" s="699" t="s">
        <v>87</v>
      </c>
      <c r="AQ152" s="719"/>
    </row>
    <row r="153" spans="1:43" ht="14.25" x14ac:dyDescent="0.2">
      <c r="A153" s="641" t="s">
        <v>858</v>
      </c>
      <c r="B153" s="169">
        <v>30</v>
      </c>
      <c r="C153" s="285" t="str">
        <f t="shared" si="26"/>
        <v>-</v>
      </c>
      <c r="D153" s="739" t="str">
        <f t="shared" si="27"/>
        <v>-</v>
      </c>
      <c r="E153" s="137" t="s">
        <v>90</v>
      </c>
      <c r="F153" s="794" t="s">
        <v>90</v>
      </c>
      <c r="G153" s="137" t="s">
        <v>90</v>
      </c>
      <c r="H153" s="137" t="s">
        <v>90</v>
      </c>
      <c r="I153" s="794" t="s">
        <v>90</v>
      </c>
      <c r="J153" s="137" t="s">
        <v>90</v>
      </c>
      <c r="K153" s="786" t="s">
        <v>710</v>
      </c>
      <c r="L153" s="788">
        <f t="shared" si="28"/>
        <v>0.45</v>
      </c>
      <c r="M153" s="788">
        <f t="shared" si="29"/>
        <v>0.3</v>
      </c>
      <c r="N153" s="788">
        <f t="shared" si="30"/>
        <v>0.75</v>
      </c>
      <c r="P153" s="699" t="s">
        <v>87</v>
      </c>
      <c r="R153" s="785">
        <v>5</v>
      </c>
      <c r="S153" s="743">
        <v>4</v>
      </c>
      <c r="AJ153" s="700"/>
      <c r="AK153" s="761"/>
      <c r="AL153" s="702"/>
      <c r="AM153" s="795"/>
      <c r="AN153" s="795"/>
      <c r="AO153" s="795"/>
      <c r="AP153" s="699" t="s">
        <v>87</v>
      </c>
      <c r="AQ153" s="719"/>
    </row>
    <row r="154" spans="1:43" ht="14.25" x14ac:dyDescent="0.2">
      <c r="A154" s="641" t="s">
        <v>859</v>
      </c>
      <c r="B154" s="169">
        <v>31</v>
      </c>
      <c r="C154" s="285" t="str">
        <f t="shared" si="26"/>
        <v>-</v>
      </c>
      <c r="D154" s="739" t="str">
        <f t="shared" si="27"/>
        <v>-</v>
      </c>
      <c r="E154" s="137" t="s">
        <v>90</v>
      </c>
      <c r="F154" s="794" t="s">
        <v>90</v>
      </c>
      <c r="G154" s="137" t="s">
        <v>90</v>
      </c>
      <c r="H154" s="137" t="s">
        <v>90</v>
      </c>
      <c r="I154" s="794" t="s">
        <v>90</v>
      </c>
      <c r="J154" s="137" t="s">
        <v>90</v>
      </c>
      <c r="K154" s="786" t="s">
        <v>710</v>
      </c>
      <c r="L154" s="788">
        <f t="shared" si="28"/>
        <v>0.45</v>
      </c>
      <c r="M154" s="788">
        <f t="shared" si="29"/>
        <v>0.3</v>
      </c>
      <c r="N154" s="788">
        <f t="shared" si="30"/>
        <v>0.75</v>
      </c>
      <c r="P154" s="699" t="s">
        <v>87</v>
      </c>
      <c r="R154" s="785">
        <v>5</v>
      </c>
      <c r="S154" s="743">
        <v>4</v>
      </c>
      <c r="AJ154" s="700"/>
      <c r="AK154" s="761"/>
      <c r="AL154" s="702"/>
      <c r="AM154" s="795"/>
      <c r="AN154" s="795"/>
      <c r="AO154" s="795"/>
      <c r="AP154" s="699" t="s">
        <v>87</v>
      </c>
      <c r="AQ154" s="719"/>
    </row>
    <row r="155" spans="1:43" ht="14.25" x14ac:dyDescent="0.2">
      <c r="A155" s="641" t="s">
        <v>860</v>
      </c>
      <c r="B155" s="169">
        <v>32</v>
      </c>
      <c r="C155" s="285" t="str">
        <f t="shared" si="26"/>
        <v>-</v>
      </c>
      <c r="D155" s="739" t="str">
        <f t="shared" si="27"/>
        <v>-</v>
      </c>
      <c r="E155" s="137" t="s">
        <v>90</v>
      </c>
      <c r="F155" s="794" t="s">
        <v>90</v>
      </c>
      <c r="G155" s="137" t="s">
        <v>90</v>
      </c>
      <c r="H155" s="137" t="s">
        <v>90</v>
      </c>
      <c r="I155" s="794" t="s">
        <v>90</v>
      </c>
      <c r="J155" s="137" t="s">
        <v>90</v>
      </c>
      <c r="K155" s="786" t="s">
        <v>350</v>
      </c>
      <c r="L155" s="788">
        <f t="shared" si="28"/>
        <v>0.45</v>
      </c>
      <c r="M155" s="788">
        <f t="shared" si="29"/>
        <v>0.3</v>
      </c>
      <c r="N155" s="788">
        <f t="shared" si="30"/>
        <v>0.5</v>
      </c>
      <c r="P155" s="699" t="s">
        <v>87</v>
      </c>
      <c r="R155" s="785">
        <v>5</v>
      </c>
      <c r="S155" s="743">
        <v>4</v>
      </c>
      <c r="AJ155" s="700"/>
      <c r="AK155" s="761"/>
      <c r="AL155" s="702"/>
      <c r="AM155" s="795"/>
      <c r="AN155" s="795"/>
      <c r="AO155" s="795"/>
      <c r="AP155" s="699" t="s">
        <v>87</v>
      </c>
      <c r="AQ155" s="719"/>
    </row>
    <row r="156" spans="1:43" ht="14.25" x14ac:dyDescent="0.2">
      <c r="A156" s="641" t="s">
        <v>861</v>
      </c>
      <c r="B156" s="169">
        <v>33</v>
      </c>
      <c r="C156" s="285" t="str">
        <f t="shared" si="26"/>
        <v>-</v>
      </c>
      <c r="D156" s="739" t="str">
        <f t="shared" si="27"/>
        <v>-</v>
      </c>
      <c r="E156" s="137" t="s">
        <v>90</v>
      </c>
      <c r="F156" s="794" t="s">
        <v>90</v>
      </c>
      <c r="G156" s="137" t="s">
        <v>90</v>
      </c>
      <c r="H156" s="137" t="s">
        <v>90</v>
      </c>
      <c r="I156" s="794" t="s">
        <v>90</v>
      </c>
      <c r="J156" s="137" t="s">
        <v>90</v>
      </c>
      <c r="K156" s="786" t="s">
        <v>709</v>
      </c>
      <c r="L156" s="788">
        <f t="shared" si="28"/>
        <v>0.35</v>
      </c>
      <c r="M156" s="788">
        <f t="shared" si="29"/>
        <v>0.25</v>
      </c>
      <c r="N156" s="788">
        <f t="shared" si="30"/>
        <v>0.25</v>
      </c>
      <c r="P156" s="699" t="s">
        <v>87</v>
      </c>
      <c r="R156" s="785">
        <v>4</v>
      </c>
      <c r="S156" s="743">
        <v>3</v>
      </c>
      <c r="AJ156" s="700"/>
      <c r="AK156" s="761"/>
      <c r="AL156" s="702"/>
      <c r="AM156" s="795"/>
      <c r="AN156" s="795"/>
      <c r="AO156" s="795"/>
      <c r="AP156" s="699" t="s">
        <v>87</v>
      </c>
      <c r="AQ156" s="719"/>
    </row>
    <row r="157" spans="1:43" ht="14.25" x14ac:dyDescent="0.2">
      <c r="A157" s="641" t="s">
        <v>862</v>
      </c>
      <c r="B157" s="169">
        <v>34</v>
      </c>
      <c r="C157" s="285" t="str">
        <f t="shared" si="26"/>
        <v>-</v>
      </c>
      <c r="D157" s="739" t="str">
        <f t="shared" si="27"/>
        <v>-</v>
      </c>
      <c r="E157" s="137" t="s">
        <v>90</v>
      </c>
      <c r="F157" s="794" t="s">
        <v>90</v>
      </c>
      <c r="G157" s="137" t="s">
        <v>90</v>
      </c>
      <c r="H157" s="137" t="s">
        <v>90</v>
      </c>
      <c r="I157" s="794" t="s">
        <v>90</v>
      </c>
      <c r="J157" s="137" t="s">
        <v>90</v>
      </c>
      <c r="K157" s="786" t="s">
        <v>709</v>
      </c>
      <c r="L157" s="788">
        <f t="shared" si="28"/>
        <v>0.35</v>
      </c>
      <c r="M157" s="788">
        <f t="shared" si="29"/>
        <v>0.25</v>
      </c>
      <c r="N157" s="788">
        <f t="shared" si="30"/>
        <v>0.25</v>
      </c>
      <c r="P157" s="699" t="s">
        <v>87</v>
      </c>
      <c r="R157" s="785">
        <v>4</v>
      </c>
      <c r="S157" s="743">
        <v>3</v>
      </c>
      <c r="AJ157" s="700"/>
      <c r="AK157" s="761"/>
      <c r="AL157" s="702"/>
      <c r="AM157" s="795"/>
      <c r="AN157" s="795"/>
      <c r="AO157" s="795"/>
      <c r="AP157" s="699" t="s">
        <v>87</v>
      </c>
      <c r="AQ157" s="719"/>
    </row>
    <row r="158" spans="1:43" ht="14.25" x14ac:dyDescent="0.2">
      <c r="A158" s="641" t="s">
        <v>863</v>
      </c>
      <c r="B158" s="169">
        <v>35</v>
      </c>
      <c r="C158" s="285" t="str">
        <f t="shared" si="26"/>
        <v>-</v>
      </c>
      <c r="D158" s="739" t="str">
        <f t="shared" si="27"/>
        <v>-</v>
      </c>
      <c r="E158" s="137" t="s">
        <v>90</v>
      </c>
      <c r="F158" s="794" t="s">
        <v>90</v>
      </c>
      <c r="G158" s="137" t="s">
        <v>90</v>
      </c>
      <c r="H158" s="137" t="s">
        <v>90</v>
      </c>
      <c r="I158" s="794" t="s">
        <v>90</v>
      </c>
      <c r="J158" s="137" t="s">
        <v>90</v>
      </c>
      <c r="K158" s="786" t="s">
        <v>709</v>
      </c>
      <c r="L158" s="788">
        <f t="shared" si="28"/>
        <v>0.35</v>
      </c>
      <c r="M158" s="788">
        <f t="shared" si="29"/>
        <v>0.25</v>
      </c>
      <c r="N158" s="788">
        <f t="shared" si="30"/>
        <v>0.25</v>
      </c>
      <c r="P158" s="699" t="s">
        <v>87</v>
      </c>
      <c r="R158" s="785">
        <v>4</v>
      </c>
      <c r="S158" s="743">
        <v>3</v>
      </c>
      <c r="AJ158" s="700"/>
      <c r="AK158" s="761"/>
      <c r="AL158" s="702"/>
      <c r="AM158" s="795"/>
      <c r="AN158" s="795"/>
      <c r="AO158" s="795"/>
      <c r="AP158" s="699" t="s">
        <v>87</v>
      </c>
      <c r="AQ158" s="719"/>
    </row>
    <row r="159" spans="1:43" ht="14.25" x14ac:dyDescent="0.2">
      <c r="A159" s="641" t="s">
        <v>864</v>
      </c>
      <c r="B159" s="169">
        <v>36</v>
      </c>
      <c r="C159" s="285" t="str">
        <f t="shared" si="26"/>
        <v>-</v>
      </c>
      <c r="D159" s="739" t="str">
        <f t="shared" si="27"/>
        <v>-</v>
      </c>
      <c r="E159" s="137" t="s">
        <v>90</v>
      </c>
      <c r="F159" s="794" t="s">
        <v>90</v>
      </c>
      <c r="G159" s="137" t="s">
        <v>90</v>
      </c>
      <c r="H159" s="137" t="s">
        <v>90</v>
      </c>
      <c r="I159" s="794" t="s">
        <v>90</v>
      </c>
      <c r="J159" s="137" t="s">
        <v>90</v>
      </c>
      <c r="K159" s="786" t="s">
        <v>350</v>
      </c>
      <c r="L159" s="788">
        <f t="shared" si="28"/>
        <v>0.35</v>
      </c>
      <c r="M159" s="788">
        <f t="shared" si="29"/>
        <v>0.25</v>
      </c>
      <c r="N159" s="788">
        <f t="shared" si="30"/>
        <v>0.5</v>
      </c>
      <c r="P159" s="699" t="s">
        <v>87</v>
      </c>
      <c r="R159" s="785">
        <v>4</v>
      </c>
      <c r="S159" s="743">
        <v>3</v>
      </c>
      <c r="AJ159" s="700"/>
      <c r="AK159" s="761"/>
      <c r="AL159" s="702"/>
      <c r="AM159" s="795"/>
      <c r="AN159" s="795"/>
      <c r="AO159" s="795"/>
      <c r="AP159" s="699" t="s">
        <v>87</v>
      </c>
      <c r="AQ159" s="719"/>
    </row>
    <row r="160" spans="1:43" ht="14.25" x14ac:dyDescent="0.2">
      <c r="A160" s="641" t="s">
        <v>865</v>
      </c>
      <c r="B160" s="169">
        <v>37</v>
      </c>
      <c r="C160" s="285" t="str">
        <f t="shared" si="26"/>
        <v>-</v>
      </c>
      <c r="D160" s="739" t="str">
        <f t="shared" si="27"/>
        <v>-</v>
      </c>
      <c r="E160" s="137" t="s">
        <v>90</v>
      </c>
      <c r="F160" s="794" t="s">
        <v>90</v>
      </c>
      <c r="G160" s="137" t="s">
        <v>90</v>
      </c>
      <c r="H160" s="137" t="s">
        <v>90</v>
      </c>
      <c r="I160" s="794" t="s">
        <v>90</v>
      </c>
      <c r="J160" s="137" t="s">
        <v>90</v>
      </c>
      <c r="K160" s="786" t="s">
        <v>350</v>
      </c>
      <c r="L160" s="788">
        <f t="shared" si="28"/>
        <v>0.5</v>
      </c>
      <c r="M160" s="788">
        <f t="shared" si="29"/>
        <v>0.35</v>
      </c>
      <c r="N160" s="788">
        <f t="shared" si="30"/>
        <v>0.5</v>
      </c>
      <c r="P160" s="699" t="s">
        <v>87</v>
      </c>
      <c r="R160" s="785">
        <v>6</v>
      </c>
      <c r="S160" s="743">
        <v>5</v>
      </c>
      <c r="AJ160" s="700"/>
      <c r="AK160" s="761"/>
      <c r="AL160" s="702"/>
      <c r="AM160" s="795"/>
      <c r="AN160" s="795"/>
      <c r="AO160" s="795"/>
      <c r="AP160" s="699" t="s">
        <v>87</v>
      </c>
      <c r="AQ160" s="719"/>
    </row>
    <row r="161" spans="1:43" ht="14.25" x14ac:dyDescent="0.2">
      <c r="A161" s="641" t="s">
        <v>866</v>
      </c>
      <c r="B161" s="169">
        <v>38</v>
      </c>
      <c r="C161" s="285" t="str">
        <f t="shared" si="26"/>
        <v>-</v>
      </c>
      <c r="D161" s="739" t="str">
        <f t="shared" si="27"/>
        <v>-</v>
      </c>
      <c r="E161" s="137" t="s">
        <v>90</v>
      </c>
      <c r="F161" s="794" t="s">
        <v>90</v>
      </c>
      <c r="G161" s="137" t="s">
        <v>90</v>
      </c>
      <c r="H161" s="137" t="s">
        <v>90</v>
      </c>
      <c r="I161" s="794" t="s">
        <v>90</v>
      </c>
      <c r="J161" s="137" t="s">
        <v>90</v>
      </c>
      <c r="K161" s="786" t="s">
        <v>709</v>
      </c>
      <c r="L161" s="788">
        <f t="shared" si="28"/>
        <v>0.5</v>
      </c>
      <c r="M161" s="788">
        <f t="shared" si="29"/>
        <v>0.35</v>
      </c>
      <c r="N161" s="788">
        <f t="shared" si="30"/>
        <v>0.25</v>
      </c>
      <c r="P161" s="699" t="s">
        <v>87</v>
      </c>
      <c r="R161" s="785">
        <v>6</v>
      </c>
      <c r="S161" s="743">
        <v>5</v>
      </c>
      <c r="AJ161" s="700"/>
      <c r="AK161" s="761"/>
      <c r="AL161" s="702"/>
      <c r="AM161" s="795"/>
      <c r="AN161" s="795"/>
      <c r="AO161" s="795"/>
      <c r="AP161" s="699" t="s">
        <v>87</v>
      </c>
      <c r="AQ161" s="719"/>
    </row>
    <row r="162" spans="1:43" ht="14.25" x14ac:dyDescent="0.2">
      <c r="A162" s="641" t="s">
        <v>867</v>
      </c>
      <c r="B162" s="169">
        <v>39</v>
      </c>
      <c r="C162" s="285" t="str">
        <f t="shared" si="26"/>
        <v>-</v>
      </c>
      <c r="D162" s="739" t="str">
        <f t="shared" si="27"/>
        <v>-</v>
      </c>
      <c r="E162" s="137" t="s">
        <v>90</v>
      </c>
      <c r="F162" s="794" t="s">
        <v>90</v>
      </c>
      <c r="G162" s="137" t="s">
        <v>90</v>
      </c>
      <c r="H162" s="137" t="s">
        <v>90</v>
      </c>
      <c r="I162" s="794" t="s">
        <v>90</v>
      </c>
      <c r="J162" s="137" t="s">
        <v>90</v>
      </c>
      <c r="K162" s="786" t="s">
        <v>709</v>
      </c>
      <c r="L162" s="788">
        <f t="shared" si="28"/>
        <v>0.5</v>
      </c>
      <c r="M162" s="788">
        <f t="shared" si="29"/>
        <v>0.35</v>
      </c>
      <c r="N162" s="788">
        <f t="shared" si="30"/>
        <v>0.25</v>
      </c>
      <c r="P162" s="699" t="s">
        <v>87</v>
      </c>
      <c r="R162" s="785">
        <v>6</v>
      </c>
      <c r="S162" s="743">
        <v>5</v>
      </c>
      <c r="AJ162" s="700"/>
      <c r="AK162" s="761"/>
      <c r="AL162" s="702"/>
      <c r="AM162" s="795"/>
      <c r="AN162" s="795"/>
      <c r="AO162" s="795"/>
      <c r="AP162" s="699" t="s">
        <v>87</v>
      </c>
      <c r="AQ162" s="719"/>
    </row>
    <row r="163" spans="1:43" ht="14.25" x14ac:dyDescent="0.2">
      <c r="A163" s="641" t="s">
        <v>868</v>
      </c>
      <c r="B163" s="169">
        <v>40</v>
      </c>
      <c r="C163" s="285" t="str">
        <f t="shared" si="26"/>
        <v>-</v>
      </c>
      <c r="D163" s="739" t="str">
        <f t="shared" si="27"/>
        <v>-</v>
      </c>
      <c r="E163" s="137" t="s">
        <v>90</v>
      </c>
      <c r="F163" s="794" t="s">
        <v>90</v>
      </c>
      <c r="G163" s="137" t="s">
        <v>90</v>
      </c>
      <c r="H163" s="137" t="s">
        <v>90</v>
      </c>
      <c r="I163" s="794" t="s">
        <v>90</v>
      </c>
      <c r="J163" s="137" t="s">
        <v>90</v>
      </c>
      <c r="K163" s="786" t="s">
        <v>707</v>
      </c>
      <c r="L163" s="788">
        <f t="shared" si="28"/>
        <v>0.5</v>
      </c>
      <c r="M163" s="788">
        <f t="shared" si="29"/>
        <v>0.35</v>
      </c>
      <c r="N163" s="788">
        <f t="shared" si="30"/>
        <v>0.75</v>
      </c>
      <c r="P163" s="699" t="s">
        <v>87</v>
      </c>
      <c r="R163" s="785">
        <v>6</v>
      </c>
      <c r="S163" s="743">
        <v>5</v>
      </c>
      <c r="AJ163" s="700"/>
      <c r="AK163" s="761"/>
      <c r="AL163" s="702"/>
      <c r="AM163" s="795"/>
      <c r="AN163" s="795"/>
      <c r="AO163" s="795"/>
      <c r="AP163" s="699" t="s">
        <v>87</v>
      </c>
      <c r="AQ163" s="719"/>
    </row>
    <row r="164" spans="1:43" ht="14.25" x14ac:dyDescent="0.2">
      <c r="A164" s="641" t="s">
        <v>869</v>
      </c>
      <c r="B164" s="169">
        <v>41</v>
      </c>
      <c r="C164" s="285" t="str">
        <f t="shared" si="26"/>
        <v>-</v>
      </c>
      <c r="D164" s="739" t="str">
        <f t="shared" si="27"/>
        <v>-</v>
      </c>
      <c r="E164" s="137" t="s">
        <v>90</v>
      </c>
      <c r="F164" s="794" t="s">
        <v>90</v>
      </c>
      <c r="G164" s="137" t="s">
        <v>90</v>
      </c>
      <c r="H164" s="137" t="s">
        <v>90</v>
      </c>
      <c r="I164" s="794" t="s">
        <v>90</v>
      </c>
      <c r="J164" s="137" t="s">
        <v>90</v>
      </c>
      <c r="K164" s="786" t="s">
        <v>350</v>
      </c>
      <c r="L164" s="788">
        <f t="shared" si="28"/>
        <v>0.5</v>
      </c>
      <c r="M164" s="788">
        <f t="shared" si="29"/>
        <v>0.35</v>
      </c>
      <c r="N164" s="788">
        <f t="shared" si="30"/>
        <v>0.5</v>
      </c>
      <c r="P164" s="699" t="s">
        <v>87</v>
      </c>
      <c r="R164" s="785">
        <v>6</v>
      </c>
      <c r="S164" s="743">
        <v>5</v>
      </c>
      <c r="AJ164" s="700"/>
      <c r="AK164" s="761"/>
      <c r="AL164" s="702"/>
      <c r="AM164" s="795"/>
      <c r="AN164" s="795"/>
      <c r="AO164" s="795"/>
      <c r="AP164" s="699" t="s">
        <v>87</v>
      </c>
      <c r="AQ164" s="719"/>
    </row>
    <row r="165" spans="1:43" ht="14.25" x14ac:dyDescent="0.2">
      <c r="A165" s="641" t="s">
        <v>870</v>
      </c>
      <c r="B165" s="169">
        <v>42</v>
      </c>
      <c r="C165" s="285" t="str">
        <f t="shared" si="26"/>
        <v>-</v>
      </c>
      <c r="D165" s="739" t="str">
        <f t="shared" si="27"/>
        <v>-</v>
      </c>
      <c r="E165" s="137" t="s">
        <v>90</v>
      </c>
      <c r="F165" s="794" t="s">
        <v>90</v>
      </c>
      <c r="G165" s="137" t="s">
        <v>90</v>
      </c>
      <c r="H165" s="137" t="s">
        <v>90</v>
      </c>
      <c r="I165" s="794" t="s">
        <v>90</v>
      </c>
      <c r="J165" s="137" t="s">
        <v>90</v>
      </c>
      <c r="K165" s="786" t="s">
        <v>350</v>
      </c>
      <c r="L165" s="788">
        <f t="shared" si="28"/>
        <v>0.5</v>
      </c>
      <c r="M165" s="788">
        <f t="shared" si="29"/>
        <v>0.35</v>
      </c>
      <c r="N165" s="788">
        <f t="shared" si="30"/>
        <v>0.5</v>
      </c>
      <c r="P165" s="699" t="s">
        <v>87</v>
      </c>
      <c r="R165" s="785">
        <v>6</v>
      </c>
      <c r="S165" s="743">
        <v>5</v>
      </c>
      <c r="AJ165" s="700"/>
      <c r="AK165" s="761"/>
      <c r="AL165" s="702"/>
      <c r="AM165" s="795"/>
      <c r="AN165" s="795"/>
      <c r="AO165" s="795"/>
      <c r="AP165" s="699" t="s">
        <v>87</v>
      </c>
      <c r="AQ165" s="719"/>
    </row>
    <row r="166" spans="1:43" ht="14.25" x14ac:dyDescent="0.2">
      <c r="A166" s="641" t="s">
        <v>871</v>
      </c>
      <c r="B166" s="169">
        <v>43</v>
      </c>
      <c r="C166" s="285" t="str">
        <f t="shared" si="26"/>
        <v>-</v>
      </c>
      <c r="D166" s="739" t="str">
        <f t="shared" si="27"/>
        <v>-</v>
      </c>
      <c r="E166" s="137" t="s">
        <v>90</v>
      </c>
      <c r="F166" s="794" t="s">
        <v>90</v>
      </c>
      <c r="G166" s="137" t="s">
        <v>90</v>
      </c>
      <c r="H166" s="137" t="s">
        <v>90</v>
      </c>
      <c r="I166" s="794" t="s">
        <v>90</v>
      </c>
      <c r="J166" s="137" t="s">
        <v>90</v>
      </c>
      <c r="K166" s="786" t="s">
        <v>706</v>
      </c>
      <c r="L166" s="788">
        <f t="shared" si="28"/>
        <v>0.55000000000000004</v>
      </c>
      <c r="M166" s="788">
        <f t="shared" si="29"/>
        <v>0.4</v>
      </c>
      <c r="N166" s="788">
        <f t="shared" si="30"/>
        <v>0.75</v>
      </c>
      <c r="P166" s="699" t="s">
        <v>87</v>
      </c>
      <c r="R166" s="785">
        <v>7</v>
      </c>
      <c r="S166" s="743">
        <v>6</v>
      </c>
      <c r="AJ166" s="700"/>
      <c r="AK166" s="761"/>
      <c r="AL166" s="702"/>
      <c r="AM166" s="795"/>
      <c r="AN166" s="795"/>
      <c r="AO166" s="795"/>
      <c r="AP166" s="699" t="s">
        <v>87</v>
      </c>
      <c r="AQ166" s="719"/>
    </row>
    <row r="167" spans="1:43" ht="14.25" x14ac:dyDescent="0.2">
      <c r="A167" s="641" t="s">
        <v>872</v>
      </c>
      <c r="B167" s="169">
        <v>44</v>
      </c>
      <c r="C167" s="285" t="str">
        <f t="shared" si="26"/>
        <v>-</v>
      </c>
      <c r="D167" s="739" t="str">
        <f t="shared" si="27"/>
        <v>-</v>
      </c>
      <c r="E167" s="137" t="s">
        <v>90</v>
      </c>
      <c r="F167" s="794" t="s">
        <v>90</v>
      </c>
      <c r="G167" s="137" t="s">
        <v>90</v>
      </c>
      <c r="H167" s="137" t="s">
        <v>90</v>
      </c>
      <c r="I167" s="794" t="s">
        <v>90</v>
      </c>
      <c r="J167" s="137" t="s">
        <v>90</v>
      </c>
      <c r="K167" s="786" t="s">
        <v>710</v>
      </c>
      <c r="L167" s="788">
        <f t="shared" si="28"/>
        <v>0.55000000000000004</v>
      </c>
      <c r="M167" s="788">
        <f t="shared" si="29"/>
        <v>0.4</v>
      </c>
      <c r="N167" s="788">
        <f t="shared" si="30"/>
        <v>0.75</v>
      </c>
      <c r="P167" s="699" t="s">
        <v>87</v>
      </c>
      <c r="R167" s="785">
        <v>7</v>
      </c>
      <c r="S167" s="743">
        <v>6</v>
      </c>
      <c r="AJ167" s="700"/>
      <c r="AK167" s="761"/>
      <c r="AL167" s="702"/>
      <c r="AM167" s="795"/>
      <c r="AN167" s="795"/>
      <c r="AO167" s="795"/>
      <c r="AP167" s="699" t="s">
        <v>87</v>
      </c>
      <c r="AQ167" s="719"/>
    </row>
    <row r="168" spans="1:43" ht="14.25" x14ac:dyDescent="0.2">
      <c r="A168" s="641" t="s">
        <v>873</v>
      </c>
      <c r="B168" s="169">
        <v>45</v>
      </c>
      <c r="C168" s="285" t="str">
        <f t="shared" si="26"/>
        <v>-</v>
      </c>
      <c r="D168" s="739" t="str">
        <f t="shared" si="27"/>
        <v>-</v>
      </c>
      <c r="E168" s="137" t="s">
        <v>90</v>
      </c>
      <c r="F168" s="794" t="s">
        <v>90</v>
      </c>
      <c r="G168" s="137" t="s">
        <v>90</v>
      </c>
      <c r="H168" s="137" t="s">
        <v>90</v>
      </c>
      <c r="I168" s="794" t="s">
        <v>90</v>
      </c>
      <c r="J168" s="137" t="s">
        <v>90</v>
      </c>
      <c r="K168" s="786" t="s">
        <v>710</v>
      </c>
      <c r="L168" s="788">
        <f t="shared" si="28"/>
        <v>0.55000000000000004</v>
      </c>
      <c r="M168" s="788">
        <f t="shared" si="29"/>
        <v>0.4</v>
      </c>
      <c r="N168" s="788">
        <f t="shared" si="30"/>
        <v>0.75</v>
      </c>
      <c r="P168" s="699" t="s">
        <v>87</v>
      </c>
      <c r="R168" s="785">
        <v>7</v>
      </c>
      <c r="S168" s="743">
        <v>6</v>
      </c>
      <c r="AJ168" s="700"/>
      <c r="AK168" s="761"/>
      <c r="AL168" s="702"/>
      <c r="AM168" s="795"/>
      <c r="AN168" s="795"/>
      <c r="AO168" s="795"/>
      <c r="AP168" s="699" t="s">
        <v>87</v>
      </c>
      <c r="AQ168" s="719"/>
    </row>
    <row r="169" spans="1:43" ht="14.25" x14ac:dyDescent="0.2">
      <c r="A169" s="641" t="s">
        <v>874</v>
      </c>
      <c r="B169" s="169">
        <v>46</v>
      </c>
      <c r="C169" s="285" t="str">
        <f t="shared" si="26"/>
        <v>-</v>
      </c>
      <c r="D169" s="739" t="str">
        <f t="shared" si="27"/>
        <v>-</v>
      </c>
      <c r="E169" s="137" t="s">
        <v>90</v>
      </c>
      <c r="F169" s="794" t="s">
        <v>90</v>
      </c>
      <c r="G169" s="137" t="s">
        <v>90</v>
      </c>
      <c r="H169" s="137" t="s">
        <v>90</v>
      </c>
      <c r="I169" s="794" t="s">
        <v>90</v>
      </c>
      <c r="J169" s="137" t="s">
        <v>90</v>
      </c>
      <c r="K169" s="786" t="s">
        <v>710</v>
      </c>
      <c r="L169" s="788">
        <f t="shared" si="28"/>
        <v>0.55000000000000004</v>
      </c>
      <c r="M169" s="788">
        <f t="shared" si="29"/>
        <v>0.4</v>
      </c>
      <c r="N169" s="788">
        <f t="shared" si="30"/>
        <v>0.75</v>
      </c>
      <c r="P169" s="699" t="s">
        <v>87</v>
      </c>
      <c r="R169" s="785">
        <v>7</v>
      </c>
      <c r="S169" s="743">
        <v>6</v>
      </c>
      <c r="AJ169" s="700"/>
      <c r="AK169" s="761"/>
      <c r="AL169" s="702"/>
      <c r="AM169" s="795"/>
      <c r="AN169" s="795"/>
      <c r="AO169" s="795"/>
      <c r="AP169" s="699" t="s">
        <v>87</v>
      </c>
      <c r="AQ169" s="719"/>
    </row>
    <row r="170" spans="1:43" ht="14.25" x14ac:dyDescent="0.2">
      <c r="A170" s="641" t="s">
        <v>875</v>
      </c>
      <c r="B170" s="169">
        <v>47</v>
      </c>
      <c r="C170" s="285" t="str">
        <f t="shared" si="26"/>
        <v>-</v>
      </c>
      <c r="D170" s="739" t="str">
        <f t="shared" si="27"/>
        <v>-</v>
      </c>
      <c r="E170" s="137" t="s">
        <v>90</v>
      </c>
      <c r="F170" s="794" t="s">
        <v>90</v>
      </c>
      <c r="G170" s="137" t="s">
        <v>90</v>
      </c>
      <c r="H170" s="137" t="s">
        <v>90</v>
      </c>
      <c r="I170" s="794" t="s">
        <v>90</v>
      </c>
      <c r="J170" s="137" t="s">
        <v>90</v>
      </c>
      <c r="K170" s="786" t="s">
        <v>710</v>
      </c>
      <c r="L170" s="788">
        <f t="shared" si="28"/>
        <v>0.55000000000000004</v>
      </c>
      <c r="M170" s="788">
        <f t="shared" si="29"/>
        <v>0.4</v>
      </c>
      <c r="N170" s="788">
        <f t="shared" si="30"/>
        <v>0.75</v>
      </c>
      <c r="P170" s="699" t="s">
        <v>87</v>
      </c>
      <c r="R170" s="785">
        <v>7</v>
      </c>
      <c r="S170" s="743">
        <v>6</v>
      </c>
      <c r="AJ170" s="700"/>
      <c r="AK170" s="761"/>
      <c r="AL170" s="702"/>
      <c r="AM170" s="795"/>
      <c r="AN170" s="795"/>
      <c r="AO170" s="795"/>
      <c r="AP170" s="699" t="s">
        <v>87</v>
      </c>
      <c r="AQ170" s="719"/>
    </row>
    <row r="171" spans="1:43" ht="14.25" x14ac:dyDescent="0.2">
      <c r="A171" s="97" t="s">
        <v>876</v>
      </c>
      <c r="B171" s="162">
        <v>48</v>
      </c>
      <c r="C171" s="153" t="str">
        <f t="shared" si="26"/>
        <v>-</v>
      </c>
      <c r="D171" s="756" t="str">
        <f t="shared" si="27"/>
        <v>-</v>
      </c>
      <c r="E171" s="139" t="s">
        <v>90</v>
      </c>
      <c r="F171" s="796" t="s">
        <v>90</v>
      </c>
      <c r="G171" s="139" t="s">
        <v>90</v>
      </c>
      <c r="H171" s="139" t="s">
        <v>90</v>
      </c>
      <c r="I171" s="796" t="s">
        <v>90</v>
      </c>
      <c r="J171" s="139" t="s">
        <v>90</v>
      </c>
      <c r="K171" s="789" t="s">
        <v>350</v>
      </c>
      <c r="L171" s="791">
        <f t="shared" si="28"/>
        <v>0.55000000000000004</v>
      </c>
      <c r="M171" s="791">
        <f t="shared" si="29"/>
        <v>0.4</v>
      </c>
      <c r="N171" s="791">
        <f t="shared" si="30"/>
        <v>0.5</v>
      </c>
      <c r="P171" s="699" t="s">
        <v>87</v>
      </c>
      <c r="R171" s="792">
        <v>7</v>
      </c>
      <c r="S171" s="762">
        <v>6</v>
      </c>
      <c r="AJ171" s="700"/>
      <c r="AK171" s="761"/>
      <c r="AL171" s="702"/>
      <c r="AM171" s="795"/>
      <c r="AN171" s="795"/>
      <c r="AO171" s="795"/>
      <c r="AP171" s="699" t="s">
        <v>87</v>
      </c>
      <c r="AQ171" s="719"/>
    </row>
    <row r="172" spans="1:43" ht="14.25" x14ac:dyDescent="0.2">
      <c r="P172" s="699" t="s">
        <v>87</v>
      </c>
      <c r="AJ172" s="700"/>
      <c r="AK172" s="761"/>
      <c r="AL172" s="702"/>
      <c r="AM172" s="795"/>
      <c r="AN172" s="795"/>
      <c r="AO172" s="795"/>
      <c r="AP172" s="699" t="s">
        <v>87</v>
      </c>
      <c r="AQ172" s="719"/>
    </row>
    <row r="173" spans="1:43" ht="14.25" x14ac:dyDescent="0.2">
      <c r="A173" s="793" t="str">
        <f>$A$17</f>
        <v>Detailed information for</v>
      </c>
      <c r="B173" s="764"/>
      <c r="C173" s="765" t="s">
        <v>731</v>
      </c>
      <c r="D173" s="766" t="s">
        <v>732</v>
      </c>
      <c r="E173" s="767"/>
      <c r="F173" s="767"/>
      <c r="G173" s="768"/>
      <c r="H173" s="769" t="s">
        <v>733</v>
      </c>
      <c r="I173" s="770"/>
      <c r="J173" s="770"/>
      <c r="K173" s="771" t="s">
        <v>33</v>
      </c>
      <c r="L173" s="772" t="s">
        <v>734</v>
      </c>
      <c r="M173" s="770"/>
      <c r="N173" s="770"/>
      <c r="P173" s="699" t="s">
        <v>87</v>
      </c>
      <c r="R173" s="773" t="s">
        <v>735</v>
      </c>
      <c r="S173" s="770"/>
      <c r="AJ173" s="700"/>
      <c r="AK173" s="761"/>
      <c r="AL173" s="702"/>
      <c r="AM173" s="795"/>
      <c r="AN173" s="795"/>
      <c r="AO173" s="795"/>
      <c r="AP173" s="699"/>
      <c r="AQ173" s="719"/>
    </row>
    <row r="174" spans="1:43" ht="15" x14ac:dyDescent="0.25">
      <c r="A174" s="774" t="s">
        <v>877</v>
      </c>
      <c r="B174" s="799"/>
      <c r="C174" s="776" t="s">
        <v>736</v>
      </c>
      <c r="D174" s="777" t="s">
        <v>173</v>
      </c>
      <c r="E174" s="777" t="s">
        <v>737</v>
      </c>
      <c r="F174" s="777" t="s">
        <v>738</v>
      </c>
      <c r="G174" s="777" t="s">
        <v>739</v>
      </c>
      <c r="H174" s="777" t="s">
        <v>737</v>
      </c>
      <c r="I174" s="777" t="s">
        <v>738</v>
      </c>
      <c r="J174" s="777" t="s">
        <v>740</v>
      </c>
      <c r="K174" s="778" t="s">
        <v>8</v>
      </c>
      <c r="L174" s="779" t="s">
        <v>741</v>
      </c>
      <c r="M174" s="779" t="s">
        <v>742</v>
      </c>
      <c r="N174" s="780" t="s">
        <v>743</v>
      </c>
      <c r="P174" s="699" t="s">
        <v>87</v>
      </c>
      <c r="R174" s="777" t="s">
        <v>744</v>
      </c>
      <c r="S174" s="777" t="s">
        <v>745</v>
      </c>
      <c r="AJ174" s="700"/>
      <c r="AK174" s="761"/>
      <c r="AL174" s="702"/>
      <c r="AM174" s="795"/>
      <c r="AN174" s="795"/>
      <c r="AO174" s="795"/>
      <c r="AP174" s="699"/>
      <c r="AQ174" s="719"/>
    </row>
    <row r="175" spans="1:43" ht="14.25" x14ac:dyDescent="0.2">
      <c r="A175" s="662"/>
      <c r="B175" s="104">
        <v>161</v>
      </c>
      <c r="C175" s="167" t="s">
        <v>746</v>
      </c>
      <c r="D175" s="167" t="s">
        <v>747</v>
      </c>
      <c r="E175" s="167">
        <v>3</v>
      </c>
      <c r="F175" s="167">
        <v>4</v>
      </c>
      <c r="G175" s="167">
        <v>5</v>
      </c>
      <c r="H175" s="167">
        <v>6</v>
      </c>
      <c r="I175" s="167">
        <v>7</v>
      </c>
      <c r="J175" s="167">
        <v>8</v>
      </c>
      <c r="K175" s="167"/>
      <c r="L175" s="167"/>
      <c r="M175" s="167"/>
      <c r="N175" s="214"/>
      <c r="P175" s="699" t="s">
        <v>87</v>
      </c>
      <c r="R175" s="781"/>
      <c r="S175" s="106"/>
      <c r="AJ175" s="700"/>
      <c r="AK175" s="761"/>
      <c r="AL175" s="702"/>
      <c r="AM175" s="795"/>
      <c r="AN175" s="795"/>
      <c r="AO175" s="795"/>
      <c r="AP175" s="699"/>
      <c r="AQ175" s="719"/>
    </row>
    <row r="176" spans="1:43" ht="14.25" x14ac:dyDescent="0.2">
      <c r="A176" s="641" t="s">
        <v>878</v>
      </c>
      <c r="B176" s="169">
        <v>1</v>
      </c>
      <c r="C176" s="282" t="str">
        <f t="shared" ref="C176:C185" si="31">IF(OR(D176&lt;&gt;"-",I176&lt;&gt;"-"),SQRT(PRODUCT(L176,SUM(D176))^2+PRODUCT(M176,SUM(I176))^2+2*PRODUCT(N176,L176,SUM(D176),M176,SUM(I176))),"-")</f>
        <v>-</v>
      </c>
      <c r="D176" s="782" t="str">
        <f t="shared" ref="D176:D185" si="32">IF(OR(F176&lt;&gt;"-",G176&lt;&gt;"-"),MAX(SUM(F176),SUM(G176)),"-")</f>
        <v>-</v>
      </c>
      <c r="E176" s="149" t="s">
        <v>90</v>
      </c>
      <c r="F176" s="797" t="s">
        <v>90</v>
      </c>
      <c r="G176" s="149" t="s">
        <v>90</v>
      </c>
      <c r="H176" s="149" t="s">
        <v>90</v>
      </c>
      <c r="I176" s="797" t="s">
        <v>90</v>
      </c>
      <c r="J176" s="149" t="s">
        <v>90</v>
      </c>
      <c r="K176" s="783" t="s">
        <v>350</v>
      </c>
      <c r="L176" s="800">
        <f t="shared" ref="L176:L185" si="33">IFERROR(INDEX(ICS.NL.Buckets.P,R176),"-")</f>
        <v>0.3</v>
      </c>
      <c r="M176" s="801">
        <f t="shared" ref="M176:M185" si="34">IFERROR(INDEX(ICS.NL.Buckets.R,S176),"-")</f>
        <v>0.25</v>
      </c>
      <c r="N176" s="798">
        <f t="shared" ref="N176:N185" si="35">IFERROR(INDEX(ICS.NL.Corr.P_R,MATCH(K176,ICS.NL.CategMapping,0)),1)</f>
        <v>0.5</v>
      </c>
      <c r="P176" s="699" t="s">
        <v>87</v>
      </c>
      <c r="R176" s="785">
        <v>3</v>
      </c>
      <c r="S176" s="743">
        <v>3</v>
      </c>
      <c r="AJ176" s="700"/>
      <c r="AK176" s="761"/>
      <c r="AL176" s="702"/>
      <c r="AM176" s="795"/>
      <c r="AN176" s="795"/>
      <c r="AO176" s="795"/>
      <c r="AP176" s="699"/>
      <c r="AQ176" s="719"/>
    </row>
    <row r="177" spans="1:43" ht="14.25" x14ac:dyDescent="0.2">
      <c r="A177" s="641" t="s">
        <v>879</v>
      </c>
      <c r="B177" s="169">
        <v>2</v>
      </c>
      <c r="C177" s="285" t="str">
        <f t="shared" si="31"/>
        <v>-</v>
      </c>
      <c r="D177" s="739" t="str">
        <f t="shared" si="32"/>
        <v>-</v>
      </c>
      <c r="E177" s="137" t="s">
        <v>90</v>
      </c>
      <c r="F177" s="794" t="s">
        <v>90</v>
      </c>
      <c r="G177" s="137" t="s">
        <v>90</v>
      </c>
      <c r="H177" s="137" t="s">
        <v>90</v>
      </c>
      <c r="I177" s="794" t="s">
        <v>90</v>
      </c>
      <c r="J177" s="137" t="s">
        <v>90</v>
      </c>
      <c r="K177" s="786" t="s">
        <v>709</v>
      </c>
      <c r="L177" s="802">
        <f t="shared" si="33"/>
        <v>0.25</v>
      </c>
      <c r="M177" s="803">
        <f t="shared" si="34"/>
        <v>0.2</v>
      </c>
      <c r="N177" s="788">
        <f t="shared" si="35"/>
        <v>0.25</v>
      </c>
      <c r="P177" s="699" t="s">
        <v>87</v>
      </c>
      <c r="R177" s="785">
        <v>2</v>
      </c>
      <c r="S177" s="743">
        <v>2</v>
      </c>
      <c r="AJ177" s="700"/>
      <c r="AK177" s="761"/>
      <c r="AL177" s="702"/>
      <c r="AM177" s="795"/>
      <c r="AN177" s="795"/>
      <c r="AO177" s="795"/>
      <c r="AP177" s="699"/>
      <c r="AQ177" s="719"/>
    </row>
    <row r="178" spans="1:43" ht="14.25" x14ac:dyDescent="0.2">
      <c r="A178" s="641" t="s">
        <v>880</v>
      </c>
      <c r="B178" s="169">
        <v>3</v>
      </c>
      <c r="C178" s="285" t="str">
        <f t="shared" si="31"/>
        <v>-</v>
      </c>
      <c r="D178" s="739" t="str">
        <f t="shared" si="32"/>
        <v>-</v>
      </c>
      <c r="E178" s="137" t="s">
        <v>90</v>
      </c>
      <c r="F178" s="794" t="s">
        <v>90</v>
      </c>
      <c r="G178" s="137" t="s">
        <v>90</v>
      </c>
      <c r="H178" s="137" t="s">
        <v>90</v>
      </c>
      <c r="I178" s="794" t="s">
        <v>90</v>
      </c>
      <c r="J178" s="137" t="s">
        <v>90</v>
      </c>
      <c r="K178" s="786" t="s">
        <v>709</v>
      </c>
      <c r="L178" s="802">
        <f t="shared" si="33"/>
        <v>0.35</v>
      </c>
      <c r="M178" s="803">
        <f t="shared" si="34"/>
        <v>0.35</v>
      </c>
      <c r="N178" s="788">
        <f t="shared" si="35"/>
        <v>0.25</v>
      </c>
      <c r="P178" s="699" t="s">
        <v>87</v>
      </c>
      <c r="R178" s="785">
        <v>4</v>
      </c>
      <c r="S178" s="743">
        <v>5</v>
      </c>
      <c r="AJ178" s="700"/>
      <c r="AK178" s="761"/>
      <c r="AL178" s="702"/>
      <c r="AM178" s="795"/>
      <c r="AN178" s="795"/>
      <c r="AO178" s="795"/>
      <c r="AP178" s="699"/>
      <c r="AQ178" s="719"/>
    </row>
    <row r="179" spans="1:43" ht="14.25" x14ac:dyDescent="0.2">
      <c r="A179" s="641" t="s">
        <v>881</v>
      </c>
      <c r="B179" s="169">
        <v>4</v>
      </c>
      <c r="C179" s="285" t="str">
        <f t="shared" si="31"/>
        <v>-</v>
      </c>
      <c r="D179" s="739" t="str">
        <f t="shared" si="32"/>
        <v>-</v>
      </c>
      <c r="E179" s="137" t="s">
        <v>90</v>
      </c>
      <c r="F179" s="794" t="s">
        <v>90</v>
      </c>
      <c r="G179" s="137" t="s">
        <v>90</v>
      </c>
      <c r="H179" s="137" t="s">
        <v>90</v>
      </c>
      <c r="I179" s="794" t="s">
        <v>90</v>
      </c>
      <c r="J179" s="137" t="s">
        <v>90</v>
      </c>
      <c r="K179" s="786" t="s">
        <v>709</v>
      </c>
      <c r="L179" s="802">
        <f t="shared" si="33"/>
        <v>0.35</v>
      </c>
      <c r="M179" s="803">
        <f t="shared" si="34"/>
        <v>0.35</v>
      </c>
      <c r="N179" s="788">
        <f t="shared" si="35"/>
        <v>0.25</v>
      </c>
      <c r="P179" s="699" t="s">
        <v>87</v>
      </c>
      <c r="R179" s="785">
        <v>4</v>
      </c>
      <c r="S179" s="743">
        <v>5</v>
      </c>
      <c r="AJ179" s="700"/>
      <c r="AK179" s="761"/>
      <c r="AL179" s="702"/>
      <c r="AM179" s="795"/>
      <c r="AN179" s="795"/>
      <c r="AO179" s="795"/>
      <c r="AP179" s="699"/>
      <c r="AQ179" s="719"/>
    </row>
    <row r="180" spans="1:43" ht="14.25" x14ac:dyDescent="0.2">
      <c r="A180" s="641" t="s">
        <v>882</v>
      </c>
      <c r="B180" s="169">
        <v>5</v>
      </c>
      <c r="C180" s="285" t="str">
        <f t="shared" si="31"/>
        <v>-</v>
      </c>
      <c r="D180" s="739" t="str">
        <f t="shared" si="32"/>
        <v>-</v>
      </c>
      <c r="E180" s="137" t="s">
        <v>90</v>
      </c>
      <c r="F180" s="794" t="s">
        <v>90</v>
      </c>
      <c r="G180" s="137" t="s">
        <v>90</v>
      </c>
      <c r="H180" s="137" t="s">
        <v>90</v>
      </c>
      <c r="I180" s="794" t="s">
        <v>90</v>
      </c>
      <c r="J180" s="137" t="s">
        <v>90</v>
      </c>
      <c r="K180" s="786" t="s">
        <v>709</v>
      </c>
      <c r="L180" s="802">
        <f t="shared" si="33"/>
        <v>0.35</v>
      </c>
      <c r="M180" s="803">
        <f t="shared" si="34"/>
        <v>0.35</v>
      </c>
      <c r="N180" s="788">
        <f t="shared" si="35"/>
        <v>0.25</v>
      </c>
      <c r="P180" s="699" t="s">
        <v>87</v>
      </c>
      <c r="R180" s="785">
        <v>4</v>
      </c>
      <c r="S180" s="743">
        <v>5</v>
      </c>
      <c r="AJ180" s="700"/>
      <c r="AK180" s="761"/>
      <c r="AL180" s="702"/>
      <c r="AM180" s="795"/>
      <c r="AN180" s="795"/>
      <c r="AO180" s="795"/>
      <c r="AP180" s="699"/>
      <c r="AQ180" s="719"/>
    </row>
    <row r="181" spans="1:43" ht="14.25" x14ac:dyDescent="0.2">
      <c r="A181" s="641" t="s">
        <v>883</v>
      </c>
      <c r="B181" s="169">
        <v>6</v>
      </c>
      <c r="C181" s="285" t="str">
        <f t="shared" si="31"/>
        <v>-</v>
      </c>
      <c r="D181" s="739" t="str">
        <f t="shared" si="32"/>
        <v>-</v>
      </c>
      <c r="E181" s="137" t="s">
        <v>90</v>
      </c>
      <c r="F181" s="794" t="s">
        <v>90</v>
      </c>
      <c r="G181" s="137" t="s">
        <v>90</v>
      </c>
      <c r="H181" s="137" t="s">
        <v>90</v>
      </c>
      <c r="I181" s="794" t="s">
        <v>90</v>
      </c>
      <c r="J181" s="137" t="s">
        <v>90</v>
      </c>
      <c r="K181" s="786" t="s">
        <v>709</v>
      </c>
      <c r="L181" s="802">
        <f t="shared" si="33"/>
        <v>0.35</v>
      </c>
      <c r="M181" s="803">
        <f t="shared" si="34"/>
        <v>0.3</v>
      </c>
      <c r="N181" s="788">
        <f t="shared" si="35"/>
        <v>0.25</v>
      </c>
      <c r="P181" s="699" t="s">
        <v>87</v>
      </c>
      <c r="R181" s="785">
        <v>4</v>
      </c>
      <c r="S181" s="743">
        <v>4</v>
      </c>
      <c r="AJ181" s="700"/>
      <c r="AK181" s="761"/>
      <c r="AL181" s="702"/>
      <c r="AM181" s="795"/>
      <c r="AN181" s="795"/>
      <c r="AO181" s="795"/>
      <c r="AP181" s="699"/>
      <c r="AQ181" s="719"/>
    </row>
    <row r="182" spans="1:43" ht="14.25" x14ac:dyDescent="0.2">
      <c r="A182" s="641" t="s">
        <v>884</v>
      </c>
      <c r="B182" s="169">
        <v>7</v>
      </c>
      <c r="C182" s="285" t="str">
        <f t="shared" si="31"/>
        <v>-</v>
      </c>
      <c r="D182" s="739" t="str">
        <f t="shared" si="32"/>
        <v>-</v>
      </c>
      <c r="E182" s="137" t="s">
        <v>90</v>
      </c>
      <c r="F182" s="794" t="s">
        <v>90</v>
      </c>
      <c r="G182" s="137" t="s">
        <v>90</v>
      </c>
      <c r="H182" s="137" t="s">
        <v>90</v>
      </c>
      <c r="I182" s="794" t="s">
        <v>90</v>
      </c>
      <c r="J182" s="137" t="s">
        <v>90</v>
      </c>
      <c r="K182" s="786" t="s">
        <v>710</v>
      </c>
      <c r="L182" s="802">
        <f t="shared" si="33"/>
        <v>0.45</v>
      </c>
      <c r="M182" s="803">
        <f t="shared" si="34"/>
        <v>0.35</v>
      </c>
      <c r="N182" s="788">
        <f t="shared" si="35"/>
        <v>0.75</v>
      </c>
      <c r="P182" s="699" t="s">
        <v>87</v>
      </c>
      <c r="R182" s="785">
        <v>5</v>
      </c>
      <c r="S182" s="743">
        <v>5</v>
      </c>
      <c r="AJ182" s="700"/>
      <c r="AK182" s="761"/>
      <c r="AL182" s="702"/>
      <c r="AM182" s="795"/>
      <c r="AN182" s="795"/>
      <c r="AO182" s="795"/>
      <c r="AP182" s="699"/>
      <c r="AQ182" s="719"/>
    </row>
    <row r="183" spans="1:43" ht="14.25" x14ac:dyDescent="0.2">
      <c r="A183" s="641" t="s">
        <v>885</v>
      </c>
      <c r="B183" s="169">
        <v>8</v>
      </c>
      <c r="C183" s="285" t="str">
        <f t="shared" si="31"/>
        <v>-</v>
      </c>
      <c r="D183" s="739" t="str">
        <f t="shared" si="32"/>
        <v>-</v>
      </c>
      <c r="E183" s="137" t="s">
        <v>90</v>
      </c>
      <c r="F183" s="794" t="s">
        <v>90</v>
      </c>
      <c r="G183" s="137" t="s">
        <v>90</v>
      </c>
      <c r="H183" s="137" t="s">
        <v>90</v>
      </c>
      <c r="I183" s="794" t="s">
        <v>90</v>
      </c>
      <c r="J183" s="137" t="s">
        <v>90</v>
      </c>
      <c r="K183" s="786" t="s">
        <v>350</v>
      </c>
      <c r="L183" s="802">
        <f t="shared" si="33"/>
        <v>0.5</v>
      </c>
      <c r="M183" s="803">
        <f t="shared" si="34"/>
        <v>0.4</v>
      </c>
      <c r="N183" s="788">
        <f t="shared" si="35"/>
        <v>0.5</v>
      </c>
      <c r="P183" s="699" t="s">
        <v>87</v>
      </c>
      <c r="R183" s="785">
        <v>6</v>
      </c>
      <c r="S183" s="743">
        <v>6</v>
      </c>
      <c r="AJ183" s="700"/>
      <c r="AK183" s="761"/>
      <c r="AL183" s="702"/>
      <c r="AM183" s="795"/>
      <c r="AN183" s="795"/>
      <c r="AO183" s="795"/>
      <c r="AP183" s="699"/>
      <c r="AQ183" s="719"/>
    </row>
    <row r="184" spans="1:43" ht="14.25" x14ac:dyDescent="0.2">
      <c r="A184" s="641" t="s">
        <v>886</v>
      </c>
      <c r="B184" s="169">
        <v>9</v>
      </c>
      <c r="C184" s="285" t="str">
        <f t="shared" si="31"/>
        <v>-</v>
      </c>
      <c r="D184" s="739" t="str">
        <f t="shared" si="32"/>
        <v>-</v>
      </c>
      <c r="E184" s="137" t="s">
        <v>90</v>
      </c>
      <c r="F184" s="794" t="s">
        <v>90</v>
      </c>
      <c r="G184" s="137" t="s">
        <v>90</v>
      </c>
      <c r="H184" s="137" t="s">
        <v>90</v>
      </c>
      <c r="I184" s="794" t="s">
        <v>90</v>
      </c>
      <c r="J184" s="137" t="s">
        <v>90</v>
      </c>
      <c r="K184" s="786" t="s">
        <v>709</v>
      </c>
      <c r="L184" s="802">
        <f t="shared" si="33"/>
        <v>0.35</v>
      </c>
      <c r="M184" s="803">
        <f t="shared" si="34"/>
        <v>0.3</v>
      </c>
      <c r="N184" s="788">
        <f t="shared" si="35"/>
        <v>0.25</v>
      </c>
      <c r="P184" s="699" t="s">
        <v>87</v>
      </c>
      <c r="R184" s="785">
        <v>4</v>
      </c>
      <c r="S184" s="743">
        <v>4</v>
      </c>
      <c r="AJ184" s="700"/>
      <c r="AK184" s="761"/>
      <c r="AL184" s="702"/>
      <c r="AM184" s="795"/>
      <c r="AN184" s="795"/>
      <c r="AO184" s="795"/>
      <c r="AP184" s="699"/>
      <c r="AQ184" s="719"/>
    </row>
    <row r="185" spans="1:43" ht="14.25" x14ac:dyDescent="0.2">
      <c r="A185" s="97" t="s">
        <v>887</v>
      </c>
      <c r="B185" s="162">
        <v>10</v>
      </c>
      <c r="C185" s="153" t="str">
        <f t="shared" si="31"/>
        <v>-</v>
      </c>
      <c r="D185" s="756" t="str">
        <f t="shared" si="32"/>
        <v>-</v>
      </c>
      <c r="E185" s="139" t="s">
        <v>90</v>
      </c>
      <c r="F185" s="796" t="s">
        <v>90</v>
      </c>
      <c r="G185" s="139" t="s">
        <v>90</v>
      </c>
      <c r="H185" s="139" t="s">
        <v>90</v>
      </c>
      <c r="I185" s="796" t="s">
        <v>90</v>
      </c>
      <c r="J185" s="139" t="s">
        <v>90</v>
      </c>
      <c r="K185" s="789" t="s">
        <v>709</v>
      </c>
      <c r="L185" s="804">
        <f t="shared" si="33"/>
        <v>0.35</v>
      </c>
      <c r="M185" s="805">
        <f t="shared" si="34"/>
        <v>0.3</v>
      </c>
      <c r="N185" s="791">
        <f t="shared" si="35"/>
        <v>0.25</v>
      </c>
      <c r="P185" s="699" t="s">
        <v>87</v>
      </c>
      <c r="R185" s="792">
        <v>4</v>
      </c>
      <c r="S185" s="762">
        <v>4</v>
      </c>
      <c r="AJ185" s="700"/>
      <c r="AK185" s="761"/>
      <c r="AL185" s="702"/>
      <c r="AM185" s="795"/>
      <c r="AN185" s="795"/>
      <c r="AO185" s="795"/>
      <c r="AP185" s="699"/>
      <c r="AQ185" s="719"/>
    </row>
    <row r="186" spans="1:43" ht="14.25" x14ac:dyDescent="0.2">
      <c r="P186" s="699" t="s">
        <v>87</v>
      </c>
      <c r="AJ186" s="700"/>
      <c r="AK186" s="761"/>
      <c r="AL186" s="702"/>
      <c r="AM186" s="795"/>
      <c r="AN186" s="795"/>
      <c r="AO186" s="795"/>
      <c r="AP186" s="699"/>
      <c r="AQ186" s="719"/>
    </row>
    <row r="187" spans="1:43" ht="14.25" x14ac:dyDescent="0.2">
      <c r="A187" s="793" t="str">
        <f>$A$17</f>
        <v>Detailed information for</v>
      </c>
      <c r="B187" s="764"/>
      <c r="C187" s="765" t="s">
        <v>731</v>
      </c>
      <c r="D187" s="766" t="s">
        <v>732</v>
      </c>
      <c r="E187" s="767"/>
      <c r="F187" s="767"/>
      <c r="G187" s="768"/>
      <c r="H187" s="769" t="s">
        <v>733</v>
      </c>
      <c r="I187" s="770"/>
      <c r="J187" s="770"/>
      <c r="K187" s="771" t="s">
        <v>33</v>
      </c>
      <c r="L187" s="772" t="s">
        <v>734</v>
      </c>
      <c r="M187" s="770"/>
      <c r="N187" s="770"/>
      <c r="P187" s="699" t="s">
        <v>87</v>
      </c>
      <c r="R187" s="773" t="s">
        <v>735</v>
      </c>
      <c r="S187" s="770"/>
      <c r="AJ187" s="700"/>
      <c r="AK187" s="761"/>
      <c r="AL187" s="702"/>
      <c r="AM187" s="795"/>
      <c r="AN187" s="795"/>
      <c r="AO187" s="795"/>
      <c r="AP187" s="699" t="s">
        <v>87</v>
      </c>
      <c r="AQ187" s="719"/>
    </row>
    <row r="188" spans="1:43" ht="15" x14ac:dyDescent="0.25">
      <c r="A188" s="774" t="s">
        <v>888</v>
      </c>
      <c r="B188" s="799"/>
      <c r="C188" s="776" t="s">
        <v>736</v>
      </c>
      <c r="D188" s="777" t="s">
        <v>173</v>
      </c>
      <c r="E188" s="777" t="s">
        <v>737</v>
      </c>
      <c r="F188" s="777" t="s">
        <v>738</v>
      </c>
      <c r="G188" s="777" t="s">
        <v>739</v>
      </c>
      <c r="H188" s="777" t="s">
        <v>737</v>
      </c>
      <c r="I188" s="777" t="s">
        <v>738</v>
      </c>
      <c r="J188" s="777" t="s">
        <v>740</v>
      </c>
      <c r="K188" s="778" t="s">
        <v>8</v>
      </c>
      <c r="L188" s="779" t="s">
        <v>741</v>
      </c>
      <c r="M188" s="779" t="s">
        <v>742</v>
      </c>
      <c r="N188" s="780" t="s">
        <v>743</v>
      </c>
      <c r="P188" s="699" t="s">
        <v>87</v>
      </c>
      <c r="R188" s="777" t="s">
        <v>744</v>
      </c>
      <c r="S188" s="777" t="s">
        <v>745</v>
      </c>
      <c r="AJ188" s="700"/>
      <c r="AK188" s="761"/>
      <c r="AL188" s="702"/>
      <c r="AM188" s="795"/>
      <c r="AN188" s="795"/>
      <c r="AO188" s="795"/>
      <c r="AP188" s="699" t="s">
        <v>87</v>
      </c>
      <c r="AQ188" s="719"/>
    </row>
    <row r="189" spans="1:43" ht="14.25" x14ac:dyDescent="0.2">
      <c r="A189" s="662"/>
      <c r="B189" s="104">
        <v>162</v>
      </c>
      <c r="C189" s="167" t="s">
        <v>746</v>
      </c>
      <c r="D189" s="167" t="s">
        <v>747</v>
      </c>
      <c r="E189" s="167">
        <v>3</v>
      </c>
      <c r="F189" s="167">
        <v>4</v>
      </c>
      <c r="G189" s="167">
        <v>5</v>
      </c>
      <c r="H189" s="167">
        <v>6</v>
      </c>
      <c r="I189" s="167">
        <v>7</v>
      </c>
      <c r="J189" s="167">
        <v>8</v>
      </c>
      <c r="K189" s="167"/>
      <c r="L189" s="167"/>
      <c r="M189" s="167"/>
      <c r="N189" s="214"/>
      <c r="P189" s="699" t="s">
        <v>87</v>
      </c>
      <c r="R189" s="781"/>
      <c r="S189" s="106"/>
      <c r="AJ189" s="700"/>
      <c r="AK189" s="761"/>
      <c r="AL189" s="702"/>
      <c r="AM189" s="795"/>
      <c r="AN189" s="795"/>
      <c r="AO189" s="795"/>
      <c r="AP189" s="699" t="s">
        <v>87</v>
      </c>
      <c r="AQ189" s="719"/>
    </row>
    <row r="190" spans="1:43" ht="14.25" x14ac:dyDescent="0.2">
      <c r="A190" s="641" t="s">
        <v>889</v>
      </c>
      <c r="B190" s="169">
        <v>1</v>
      </c>
      <c r="C190" s="282" t="str">
        <f t="shared" ref="C190:C202" si="36">IF(OR(D190&lt;&gt;"-",I190&lt;&gt;"-"),SQRT(PRODUCT(L190,SUM(D190))^2+PRODUCT(M190,SUM(I190))^2+2*PRODUCT(N190,L190,SUM(D190),M190,SUM(I190))),"-")</f>
        <v>-</v>
      </c>
      <c r="D190" s="782" t="str">
        <f t="shared" ref="D190:D202" si="37">IF(OR(F190&lt;&gt;"-",G190&lt;&gt;"-"),MAX(SUM(F190),SUM(G190)),"-")</f>
        <v>-</v>
      </c>
      <c r="E190" s="149" t="s">
        <v>90</v>
      </c>
      <c r="F190" s="797" t="s">
        <v>90</v>
      </c>
      <c r="G190" s="149" t="s">
        <v>90</v>
      </c>
      <c r="H190" s="149" t="s">
        <v>90</v>
      </c>
      <c r="I190" s="797" t="s">
        <v>90</v>
      </c>
      <c r="J190" s="149" t="s">
        <v>90</v>
      </c>
      <c r="K190" s="783" t="s">
        <v>709</v>
      </c>
      <c r="L190" s="800">
        <f t="shared" ref="L190:L202" si="38">IFERROR(INDEX(ICS.NL.Buckets.P,R190),"-")</f>
        <v>0.35</v>
      </c>
      <c r="M190" s="801">
        <f t="shared" ref="M190:M202" si="39">IFERROR(INDEX(ICS.NL.Buckets.R,S190),"-")</f>
        <v>0.5</v>
      </c>
      <c r="N190" s="798">
        <f t="shared" ref="N190:N202" si="40">IFERROR(INDEX(ICS.NL.Corr.P_R,MATCH(K190,ICS.NL.CategMapping,0)),1)</f>
        <v>0.25</v>
      </c>
      <c r="P190" s="699" t="s">
        <v>87</v>
      </c>
      <c r="R190" s="785">
        <v>4</v>
      </c>
      <c r="S190" s="743">
        <v>8</v>
      </c>
      <c r="AJ190" s="700"/>
      <c r="AK190" s="761"/>
      <c r="AL190" s="702"/>
      <c r="AM190" s="795"/>
      <c r="AN190" s="795"/>
      <c r="AO190" s="795"/>
      <c r="AP190" s="699" t="s">
        <v>87</v>
      </c>
      <c r="AQ190" s="719"/>
    </row>
    <row r="191" spans="1:43" ht="14.25" x14ac:dyDescent="0.2">
      <c r="A191" s="641" t="s">
        <v>890</v>
      </c>
      <c r="B191" s="169">
        <v>2</v>
      </c>
      <c r="C191" s="285" t="str">
        <f t="shared" si="36"/>
        <v>-</v>
      </c>
      <c r="D191" s="739" t="str">
        <f t="shared" si="37"/>
        <v>-</v>
      </c>
      <c r="E191" s="137" t="s">
        <v>90</v>
      </c>
      <c r="F191" s="794" t="s">
        <v>90</v>
      </c>
      <c r="G191" s="137" t="s">
        <v>90</v>
      </c>
      <c r="H191" s="137" t="s">
        <v>90</v>
      </c>
      <c r="I191" s="794" t="s">
        <v>90</v>
      </c>
      <c r="J191" s="137" t="s">
        <v>90</v>
      </c>
      <c r="K191" s="786" t="s">
        <v>709</v>
      </c>
      <c r="L191" s="802">
        <f t="shared" si="38"/>
        <v>0.45</v>
      </c>
      <c r="M191" s="803">
        <f t="shared" si="39"/>
        <v>0.5</v>
      </c>
      <c r="N191" s="788">
        <f t="shared" si="40"/>
        <v>0.25</v>
      </c>
      <c r="P191" s="699" t="s">
        <v>87</v>
      </c>
      <c r="R191" s="785">
        <v>5</v>
      </c>
      <c r="S191" s="743">
        <v>8</v>
      </c>
      <c r="AJ191" s="700"/>
      <c r="AK191" s="761"/>
      <c r="AL191" s="702"/>
      <c r="AM191" s="795"/>
      <c r="AN191" s="795"/>
      <c r="AO191" s="795"/>
      <c r="AP191" s="699" t="s">
        <v>87</v>
      </c>
      <c r="AQ191" s="719"/>
    </row>
    <row r="192" spans="1:43" ht="14.25" x14ac:dyDescent="0.2">
      <c r="A192" s="641" t="s">
        <v>891</v>
      </c>
      <c r="B192" s="169">
        <v>3</v>
      </c>
      <c r="C192" s="285" t="str">
        <f t="shared" si="36"/>
        <v>-</v>
      </c>
      <c r="D192" s="739" t="str">
        <f t="shared" si="37"/>
        <v>-</v>
      </c>
      <c r="E192" s="137" t="s">
        <v>90</v>
      </c>
      <c r="F192" s="794" t="s">
        <v>90</v>
      </c>
      <c r="G192" s="137" t="s">
        <v>90</v>
      </c>
      <c r="H192" s="137" t="s">
        <v>90</v>
      </c>
      <c r="I192" s="794" t="s">
        <v>90</v>
      </c>
      <c r="J192" s="137" t="s">
        <v>90</v>
      </c>
      <c r="K192" s="786" t="s">
        <v>709</v>
      </c>
      <c r="L192" s="802">
        <f t="shared" si="38"/>
        <v>0.55000000000000004</v>
      </c>
      <c r="M192" s="803">
        <f t="shared" si="39"/>
        <v>0.5</v>
      </c>
      <c r="N192" s="788">
        <f t="shared" si="40"/>
        <v>0.25</v>
      </c>
      <c r="P192" s="699" t="s">
        <v>87</v>
      </c>
      <c r="R192" s="785">
        <v>7</v>
      </c>
      <c r="S192" s="743">
        <v>8</v>
      </c>
      <c r="AJ192" s="700"/>
      <c r="AK192" s="761"/>
      <c r="AL192" s="702"/>
      <c r="AM192" s="795"/>
      <c r="AN192" s="795"/>
      <c r="AO192" s="795"/>
      <c r="AP192" s="699" t="s">
        <v>87</v>
      </c>
      <c r="AQ192" s="719"/>
    </row>
    <row r="193" spans="1:43" ht="14.25" x14ac:dyDescent="0.2">
      <c r="A193" s="641" t="s">
        <v>892</v>
      </c>
      <c r="B193" s="169">
        <v>4</v>
      </c>
      <c r="C193" s="285" t="str">
        <f t="shared" si="36"/>
        <v>-</v>
      </c>
      <c r="D193" s="739" t="str">
        <f t="shared" si="37"/>
        <v>-</v>
      </c>
      <c r="E193" s="137" t="s">
        <v>90</v>
      </c>
      <c r="F193" s="794" t="s">
        <v>90</v>
      </c>
      <c r="G193" s="137" t="s">
        <v>90</v>
      </c>
      <c r="H193" s="137" t="s">
        <v>90</v>
      </c>
      <c r="I193" s="794" t="s">
        <v>90</v>
      </c>
      <c r="J193" s="137" t="s">
        <v>90</v>
      </c>
      <c r="K193" s="786" t="s">
        <v>350</v>
      </c>
      <c r="L193" s="802">
        <f t="shared" si="38"/>
        <v>0.35</v>
      </c>
      <c r="M193" s="803">
        <f t="shared" si="39"/>
        <v>0.5</v>
      </c>
      <c r="N193" s="788">
        <f t="shared" si="40"/>
        <v>0.5</v>
      </c>
      <c r="P193" s="699" t="s">
        <v>87</v>
      </c>
      <c r="R193" s="785">
        <v>4</v>
      </c>
      <c r="S193" s="743">
        <v>8</v>
      </c>
      <c r="AJ193" s="700"/>
      <c r="AK193" s="761"/>
      <c r="AL193" s="702"/>
      <c r="AM193" s="795"/>
      <c r="AN193" s="795"/>
      <c r="AO193" s="795"/>
      <c r="AP193" s="699" t="s">
        <v>87</v>
      </c>
      <c r="AQ193" s="719"/>
    </row>
    <row r="194" spans="1:43" ht="14.25" x14ac:dyDescent="0.2">
      <c r="A194" s="641" t="s">
        <v>893</v>
      </c>
      <c r="B194" s="169">
        <v>5</v>
      </c>
      <c r="C194" s="285" t="str">
        <f t="shared" si="36"/>
        <v>-</v>
      </c>
      <c r="D194" s="739" t="str">
        <f t="shared" si="37"/>
        <v>-</v>
      </c>
      <c r="E194" s="137" t="s">
        <v>90</v>
      </c>
      <c r="F194" s="794" t="s">
        <v>90</v>
      </c>
      <c r="G194" s="137" t="s">
        <v>90</v>
      </c>
      <c r="H194" s="137" t="s">
        <v>90</v>
      </c>
      <c r="I194" s="794" t="s">
        <v>90</v>
      </c>
      <c r="J194" s="137" t="s">
        <v>90</v>
      </c>
      <c r="K194" s="786" t="s">
        <v>710</v>
      </c>
      <c r="L194" s="802">
        <f t="shared" si="38"/>
        <v>0.15</v>
      </c>
      <c r="M194" s="803">
        <f t="shared" si="39"/>
        <v>0.3</v>
      </c>
      <c r="N194" s="788">
        <f t="shared" si="40"/>
        <v>0.75</v>
      </c>
      <c r="P194" s="699" t="s">
        <v>87</v>
      </c>
      <c r="R194" s="785">
        <v>1</v>
      </c>
      <c r="S194" s="743">
        <v>4</v>
      </c>
      <c r="AJ194" s="700"/>
      <c r="AK194" s="761"/>
      <c r="AL194" s="702"/>
      <c r="AM194" s="795"/>
      <c r="AN194" s="795"/>
      <c r="AO194" s="795"/>
      <c r="AP194" s="699" t="s">
        <v>87</v>
      </c>
      <c r="AQ194" s="719"/>
    </row>
    <row r="195" spans="1:43" ht="14.25" x14ac:dyDescent="0.2">
      <c r="A195" s="641" t="s">
        <v>894</v>
      </c>
      <c r="B195" s="169">
        <v>6</v>
      </c>
      <c r="C195" s="285" t="str">
        <f t="shared" si="36"/>
        <v>-</v>
      </c>
      <c r="D195" s="739" t="str">
        <f t="shared" si="37"/>
        <v>-</v>
      </c>
      <c r="E195" s="137" t="s">
        <v>90</v>
      </c>
      <c r="F195" s="794" t="s">
        <v>90</v>
      </c>
      <c r="G195" s="137" t="s">
        <v>90</v>
      </c>
      <c r="H195" s="137" t="s">
        <v>90</v>
      </c>
      <c r="I195" s="794" t="s">
        <v>90</v>
      </c>
      <c r="J195" s="137" t="s">
        <v>90</v>
      </c>
      <c r="K195" s="786" t="s">
        <v>350</v>
      </c>
      <c r="L195" s="802">
        <f t="shared" si="38"/>
        <v>0.15</v>
      </c>
      <c r="M195" s="803">
        <f t="shared" si="39"/>
        <v>0.1</v>
      </c>
      <c r="N195" s="788">
        <f t="shared" si="40"/>
        <v>0.5</v>
      </c>
      <c r="P195" s="699" t="s">
        <v>87</v>
      </c>
      <c r="R195" s="785">
        <v>1</v>
      </c>
      <c r="S195" s="743">
        <v>1</v>
      </c>
      <c r="AJ195" s="700"/>
      <c r="AK195" s="761"/>
      <c r="AL195" s="702"/>
      <c r="AM195" s="795"/>
      <c r="AN195" s="795"/>
      <c r="AO195" s="795"/>
      <c r="AP195" s="699" t="s">
        <v>87</v>
      </c>
      <c r="AQ195" s="719"/>
    </row>
    <row r="196" spans="1:43" ht="14.25" x14ac:dyDescent="0.2">
      <c r="A196" s="641" t="s">
        <v>895</v>
      </c>
      <c r="B196" s="169">
        <v>7</v>
      </c>
      <c r="C196" s="285" t="str">
        <f t="shared" si="36"/>
        <v>-</v>
      </c>
      <c r="D196" s="739" t="str">
        <f t="shared" si="37"/>
        <v>-</v>
      </c>
      <c r="E196" s="137" t="s">
        <v>90</v>
      </c>
      <c r="F196" s="794" t="s">
        <v>90</v>
      </c>
      <c r="G196" s="137" t="s">
        <v>90</v>
      </c>
      <c r="H196" s="137" t="s">
        <v>90</v>
      </c>
      <c r="I196" s="794" t="s">
        <v>90</v>
      </c>
      <c r="J196" s="137" t="s">
        <v>90</v>
      </c>
      <c r="K196" s="786" t="s">
        <v>707</v>
      </c>
      <c r="L196" s="802">
        <f t="shared" si="38"/>
        <v>0.7</v>
      </c>
      <c r="M196" s="803">
        <f t="shared" si="39"/>
        <v>0.5</v>
      </c>
      <c r="N196" s="788">
        <f t="shared" si="40"/>
        <v>0.75</v>
      </c>
      <c r="P196" s="699" t="s">
        <v>87</v>
      </c>
      <c r="R196" s="785">
        <v>8</v>
      </c>
      <c r="S196" s="743">
        <v>8</v>
      </c>
      <c r="AJ196" s="700"/>
      <c r="AK196" s="761"/>
      <c r="AL196" s="702"/>
      <c r="AM196" s="795"/>
      <c r="AN196" s="795"/>
      <c r="AO196" s="795"/>
      <c r="AP196" s="699" t="s">
        <v>87</v>
      </c>
      <c r="AQ196" s="719"/>
    </row>
    <row r="197" spans="1:43" ht="14.25" x14ac:dyDescent="0.2">
      <c r="A197" s="641" t="s">
        <v>896</v>
      </c>
      <c r="B197" s="169">
        <v>8</v>
      </c>
      <c r="C197" s="285" t="str">
        <f t="shared" si="36"/>
        <v>-</v>
      </c>
      <c r="D197" s="739" t="str">
        <f t="shared" si="37"/>
        <v>-</v>
      </c>
      <c r="E197" s="137" t="s">
        <v>90</v>
      </c>
      <c r="F197" s="794" t="s">
        <v>90</v>
      </c>
      <c r="G197" s="137" t="s">
        <v>90</v>
      </c>
      <c r="H197" s="137" t="s">
        <v>90</v>
      </c>
      <c r="I197" s="794" t="s">
        <v>90</v>
      </c>
      <c r="J197" s="137" t="s">
        <v>90</v>
      </c>
      <c r="K197" s="806" t="s">
        <v>350</v>
      </c>
      <c r="L197" s="802">
        <f t="shared" si="38"/>
        <v>0.5</v>
      </c>
      <c r="M197" s="803">
        <f t="shared" si="39"/>
        <v>0.5</v>
      </c>
      <c r="N197" s="788">
        <f t="shared" si="40"/>
        <v>0.5</v>
      </c>
      <c r="P197" s="699" t="s">
        <v>87</v>
      </c>
      <c r="R197" s="785">
        <v>6</v>
      </c>
      <c r="S197" s="743">
        <v>8</v>
      </c>
      <c r="AJ197" s="700"/>
      <c r="AK197" s="761"/>
      <c r="AL197" s="702"/>
      <c r="AM197" s="795"/>
      <c r="AN197" s="795"/>
      <c r="AO197" s="795"/>
      <c r="AP197" s="699" t="s">
        <v>87</v>
      </c>
      <c r="AQ197" s="719"/>
    </row>
    <row r="198" spans="1:43" ht="14.25" x14ac:dyDescent="0.2">
      <c r="A198" s="641" t="s">
        <v>897</v>
      </c>
      <c r="B198" s="169">
        <v>9</v>
      </c>
      <c r="C198" s="285" t="str">
        <f t="shared" si="36"/>
        <v>-</v>
      </c>
      <c r="D198" s="739" t="str">
        <f t="shared" si="37"/>
        <v>-</v>
      </c>
      <c r="E198" s="137" t="s">
        <v>90</v>
      </c>
      <c r="F198" s="794" t="s">
        <v>90</v>
      </c>
      <c r="G198" s="137" t="s">
        <v>90</v>
      </c>
      <c r="H198" s="137" t="s">
        <v>90</v>
      </c>
      <c r="I198" s="794" t="s">
        <v>90</v>
      </c>
      <c r="J198" s="137" t="s">
        <v>90</v>
      </c>
      <c r="K198" s="786" t="s">
        <v>710</v>
      </c>
      <c r="L198" s="802">
        <f t="shared" si="38"/>
        <v>0.25</v>
      </c>
      <c r="M198" s="803">
        <f t="shared" si="39"/>
        <v>0.25</v>
      </c>
      <c r="N198" s="788">
        <f t="shared" si="40"/>
        <v>0.75</v>
      </c>
      <c r="P198" s="699" t="s">
        <v>87</v>
      </c>
      <c r="R198" s="785">
        <v>2</v>
      </c>
      <c r="S198" s="743">
        <v>3</v>
      </c>
      <c r="AJ198" s="700"/>
      <c r="AK198" s="761"/>
      <c r="AL198" s="702"/>
      <c r="AM198" s="795"/>
      <c r="AN198" s="795"/>
      <c r="AO198" s="795"/>
      <c r="AP198" s="699"/>
      <c r="AQ198" s="719"/>
    </row>
    <row r="199" spans="1:43" ht="14.25" x14ac:dyDescent="0.2">
      <c r="A199" s="641" t="s">
        <v>898</v>
      </c>
      <c r="B199" s="169">
        <v>10</v>
      </c>
      <c r="C199" s="285" t="str">
        <f t="shared" si="36"/>
        <v>-</v>
      </c>
      <c r="D199" s="739" t="str">
        <f t="shared" si="37"/>
        <v>-</v>
      </c>
      <c r="E199" s="137" t="s">
        <v>90</v>
      </c>
      <c r="F199" s="794" t="s">
        <v>90</v>
      </c>
      <c r="G199" s="137" t="s">
        <v>90</v>
      </c>
      <c r="H199" s="137" t="s">
        <v>90</v>
      </c>
      <c r="I199" s="794" t="s">
        <v>90</v>
      </c>
      <c r="J199" s="137" t="s">
        <v>90</v>
      </c>
      <c r="K199" s="786" t="s">
        <v>709</v>
      </c>
      <c r="L199" s="802">
        <f t="shared" si="38"/>
        <v>0.25</v>
      </c>
      <c r="M199" s="803">
        <f t="shared" si="39"/>
        <v>0.25</v>
      </c>
      <c r="N199" s="788">
        <f t="shared" si="40"/>
        <v>0.25</v>
      </c>
      <c r="P199" s="699" t="s">
        <v>87</v>
      </c>
      <c r="R199" s="785">
        <v>2</v>
      </c>
      <c r="S199" s="743">
        <v>3</v>
      </c>
      <c r="AJ199" s="700"/>
      <c r="AK199" s="761"/>
      <c r="AL199" s="702"/>
      <c r="AM199" s="795"/>
      <c r="AN199" s="795"/>
      <c r="AO199" s="795"/>
      <c r="AP199" s="699"/>
      <c r="AQ199" s="719"/>
    </row>
    <row r="200" spans="1:43" ht="14.25" x14ac:dyDescent="0.2">
      <c r="A200" s="641" t="s">
        <v>899</v>
      </c>
      <c r="B200" s="169">
        <v>11</v>
      </c>
      <c r="C200" s="285" t="str">
        <f t="shared" si="36"/>
        <v>-</v>
      </c>
      <c r="D200" s="739" t="str">
        <f t="shared" si="37"/>
        <v>-</v>
      </c>
      <c r="E200" s="137" t="s">
        <v>90</v>
      </c>
      <c r="F200" s="794" t="s">
        <v>90</v>
      </c>
      <c r="G200" s="137" t="s">
        <v>90</v>
      </c>
      <c r="H200" s="137" t="s">
        <v>90</v>
      </c>
      <c r="I200" s="794" t="s">
        <v>90</v>
      </c>
      <c r="J200" s="137" t="s">
        <v>90</v>
      </c>
      <c r="K200" s="786" t="s">
        <v>710</v>
      </c>
      <c r="L200" s="802">
        <f t="shared" si="38"/>
        <v>0.25</v>
      </c>
      <c r="M200" s="803">
        <f t="shared" si="39"/>
        <v>0.25</v>
      </c>
      <c r="N200" s="788">
        <f t="shared" si="40"/>
        <v>0.75</v>
      </c>
      <c r="P200" s="699" t="s">
        <v>87</v>
      </c>
      <c r="R200" s="785">
        <v>2</v>
      </c>
      <c r="S200" s="743">
        <v>3</v>
      </c>
      <c r="AJ200" s="700"/>
      <c r="AK200" s="761"/>
      <c r="AL200" s="702"/>
      <c r="AM200" s="795"/>
      <c r="AN200" s="795"/>
      <c r="AO200" s="795"/>
      <c r="AP200" s="699"/>
      <c r="AQ200" s="719"/>
    </row>
    <row r="201" spans="1:43" ht="14.25" x14ac:dyDescent="0.2">
      <c r="A201" s="641" t="s">
        <v>900</v>
      </c>
      <c r="B201" s="169">
        <v>12</v>
      </c>
      <c r="C201" s="285" t="str">
        <f t="shared" si="36"/>
        <v>-</v>
      </c>
      <c r="D201" s="739" t="str">
        <f t="shared" si="37"/>
        <v>-</v>
      </c>
      <c r="E201" s="137" t="s">
        <v>90</v>
      </c>
      <c r="F201" s="794" t="s">
        <v>90</v>
      </c>
      <c r="G201" s="137" t="s">
        <v>90</v>
      </c>
      <c r="H201" s="137" t="s">
        <v>90</v>
      </c>
      <c r="I201" s="794" t="s">
        <v>90</v>
      </c>
      <c r="J201" s="137" t="s">
        <v>90</v>
      </c>
      <c r="K201" s="786" t="s">
        <v>709</v>
      </c>
      <c r="L201" s="802">
        <f t="shared" si="38"/>
        <v>0.25</v>
      </c>
      <c r="M201" s="803">
        <f t="shared" si="39"/>
        <v>0.25</v>
      </c>
      <c r="N201" s="788">
        <f t="shared" si="40"/>
        <v>0.25</v>
      </c>
      <c r="P201" s="699" t="s">
        <v>87</v>
      </c>
      <c r="R201" s="785">
        <v>2</v>
      </c>
      <c r="S201" s="743">
        <v>3</v>
      </c>
      <c r="AJ201" s="700"/>
      <c r="AK201" s="761"/>
      <c r="AL201" s="702"/>
      <c r="AM201" s="795"/>
      <c r="AN201" s="795"/>
      <c r="AO201" s="795"/>
      <c r="AP201" s="699"/>
      <c r="AQ201" s="719"/>
    </row>
    <row r="202" spans="1:43" ht="14.25" x14ac:dyDescent="0.2">
      <c r="A202" s="97" t="s">
        <v>901</v>
      </c>
      <c r="B202" s="162">
        <v>13</v>
      </c>
      <c r="C202" s="153" t="str">
        <f t="shared" si="36"/>
        <v>-</v>
      </c>
      <c r="D202" s="756" t="str">
        <f t="shared" si="37"/>
        <v>-</v>
      </c>
      <c r="E202" s="139" t="s">
        <v>90</v>
      </c>
      <c r="F202" s="796" t="s">
        <v>90</v>
      </c>
      <c r="G202" s="139" t="s">
        <v>90</v>
      </c>
      <c r="H202" s="139" t="s">
        <v>90</v>
      </c>
      <c r="I202" s="796" t="s">
        <v>90</v>
      </c>
      <c r="J202" s="139" t="s">
        <v>90</v>
      </c>
      <c r="K202" s="807" t="s">
        <v>350</v>
      </c>
      <c r="L202" s="804">
        <f t="shared" si="38"/>
        <v>0.15</v>
      </c>
      <c r="M202" s="805">
        <f t="shared" si="39"/>
        <v>0.25</v>
      </c>
      <c r="N202" s="791">
        <f t="shared" si="40"/>
        <v>0.5</v>
      </c>
      <c r="P202" s="699" t="s">
        <v>87</v>
      </c>
      <c r="R202" s="792">
        <v>1</v>
      </c>
      <c r="S202" s="762">
        <v>3</v>
      </c>
      <c r="AJ202" s="700"/>
      <c r="AK202" s="761"/>
      <c r="AL202" s="702"/>
      <c r="AM202" s="795"/>
      <c r="AN202" s="795"/>
      <c r="AO202" s="795"/>
      <c r="AP202" s="699" t="s">
        <v>87</v>
      </c>
      <c r="AQ202" s="719"/>
    </row>
    <row r="203" spans="1:43" ht="14.25" x14ac:dyDescent="0.2">
      <c r="P203" s="699" t="s">
        <v>87</v>
      </c>
      <c r="AJ203" s="700"/>
      <c r="AK203" s="761"/>
      <c r="AL203" s="702"/>
      <c r="AM203" s="795"/>
      <c r="AN203" s="795"/>
      <c r="AO203" s="795"/>
      <c r="AP203" s="699" t="s">
        <v>87</v>
      </c>
      <c r="AQ203" s="719"/>
    </row>
    <row r="204" spans="1:43" ht="14.25" x14ac:dyDescent="0.2">
      <c r="A204" s="793" t="str">
        <f>$A$17</f>
        <v>Detailed information for</v>
      </c>
      <c r="B204" s="764"/>
      <c r="C204" s="765" t="s">
        <v>731</v>
      </c>
      <c r="D204" s="766" t="s">
        <v>732</v>
      </c>
      <c r="E204" s="767"/>
      <c r="F204" s="767"/>
      <c r="G204" s="768"/>
      <c r="H204" s="769" t="s">
        <v>733</v>
      </c>
      <c r="I204" s="770"/>
      <c r="J204" s="770"/>
      <c r="K204" s="771" t="s">
        <v>33</v>
      </c>
      <c r="L204" s="772" t="s">
        <v>734</v>
      </c>
      <c r="M204" s="770"/>
      <c r="N204" s="770"/>
      <c r="P204" s="699" t="s">
        <v>87</v>
      </c>
      <c r="R204" s="773" t="s">
        <v>735</v>
      </c>
      <c r="S204" s="770"/>
      <c r="AJ204" s="700"/>
      <c r="AK204" s="761"/>
      <c r="AL204" s="702"/>
      <c r="AM204" s="795"/>
      <c r="AN204" s="795"/>
      <c r="AO204" s="795"/>
      <c r="AP204" s="699" t="s">
        <v>87</v>
      </c>
      <c r="AQ204" s="719"/>
    </row>
    <row r="205" spans="1:43" ht="15" x14ac:dyDescent="0.25">
      <c r="A205" s="774" t="s">
        <v>902</v>
      </c>
      <c r="B205" s="775"/>
      <c r="C205" s="776" t="s">
        <v>736</v>
      </c>
      <c r="D205" s="777" t="s">
        <v>173</v>
      </c>
      <c r="E205" s="777" t="s">
        <v>737</v>
      </c>
      <c r="F205" s="777" t="s">
        <v>738</v>
      </c>
      <c r="G205" s="777" t="s">
        <v>739</v>
      </c>
      <c r="H205" s="777" t="s">
        <v>737</v>
      </c>
      <c r="I205" s="777" t="s">
        <v>738</v>
      </c>
      <c r="J205" s="777" t="s">
        <v>740</v>
      </c>
      <c r="K205" s="778" t="s">
        <v>8</v>
      </c>
      <c r="L205" s="779" t="s">
        <v>741</v>
      </c>
      <c r="M205" s="779" t="s">
        <v>742</v>
      </c>
      <c r="N205" s="780" t="s">
        <v>743</v>
      </c>
      <c r="P205" s="699" t="s">
        <v>87</v>
      </c>
      <c r="R205" s="777" t="s">
        <v>744</v>
      </c>
      <c r="S205" s="777" t="s">
        <v>745</v>
      </c>
      <c r="AJ205" s="700"/>
      <c r="AK205" s="761"/>
      <c r="AL205" s="702"/>
      <c r="AM205" s="795"/>
      <c r="AN205" s="795"/>
      <c r="AO205" s="795"/>
      <c r="AP205" s="699" t="s">
        <v>87</v>
      </c>
      <c r="AQ205" s="719"/>
    </row>
    <row r="206" spans="1:43" ht="14.25" x14ac:dyDescent="0.2">
      <c r="A206" s="662"/>
      <c r="B206" s="104">
        <v>163</v>
      </c>
      <c r="C206" s="167" t="s">
        <v>746</v>
      </c>
      <c r="D206" s="167" t="s">
        <v>747</v>
      </c>
      <c r="E206" s="167">
        <v>3</v>
      </c>
      <c r="F206" s="167">
        <v>4</v>
      </c>
      <c r="G206" s="167">
        <v>5</v>
      </c>
      <c r="H206" s="167">
        <v>6</v>
      </c>
      <c r="I206" s="167">
        <v>7</v>
      </c>
      <c r="J206" s="167">
        <v>8</v>
      </c>
      <c r="K206" s="167"/>
      <c r="L206" s="167"/>
      <c r="M206" s="167"/>
      <c r="N206" s="214"/>
      <c r="P206" s="699" t="s">
        <v>87</v>
      </c>
      <c r="R206" s="781"/>
      <c r="S206" s="106"/>
      <c r="AJ206" s="700"/>
      <c r="AK206" s="761"/>
      <c r="AL206" s="702"/>
      <c r="AM206" s="795"/>
      <c r="AN206" s="795"/>
      <c r="AO206" s="795"/>
      <c r="AP206" s="699" t="s">
        <v>87</v>
      </c>
      <c r="AQ206" s="719"/>
    </row>
    <row r="207" spans="1:43" ht="14.25" x14ac:dyDescent="0.2">
      <c r="A207" s="641" t="s">
        <v>811</v>
      </c>
      <c r="B207" s="169">
        <v>1</v>
      </c>
      <c r="C207" s="282" t="str">
        <f t="shared" ref="C207:C221" si="41">IF(OR(D207&lt;&gt;"-",I207&lt;&gt;"-"),SQRT(PRODUCT(L207,SUM(D207))^2+PRODUCT(M207,SUM(I207))^2+2*PRODUCT(N207,L207,SUM(D207),M207,SUM(I207))),"-")</f>
        <v>-</v>
      </c>
      <c r="D207" s="782" t="str">
        <f t="shared" ref="D207:D221" si="42">IF(OR(F207&lt;&gt;"-",G207&lt;&gt;"-"),MAX(SUM(F207),SUM(G207)),"-")</f>
        <v>-</v>
      </c>
      <c r="E207" s="149" t="s">
        <v>90</v>
      </c>
      <c r="F207" s="797" t="s">
        <v>90</v>
      </c>
      <c r="G207" s="149" t="s">
        <v>90</v>
      </c>
      <c r="H207" s="149" t="s">
        <v>90</v>
      </c>
      <c r="I207" s="149" t="s">
        <v>90</v>
      </c>
      <c r="J207" s="149" t="s">
        <v>90</v>
      </c>
      <c r="K207" s="783" t="s">
        <v>350</v>
      </c>
      <c r="L207" s="798">
        <f t="shared" ref="L207:L221" si="43">IFERROR(INDEX(ICS.NL.Buckets.P,R207),"-")</f>
        <v>0.25</v>
      </c>
      <c r="M207" s="798">
        <f t="shared" ref="M207:M221" si="44">IFERROR(INDEX(ICS.NL.Buckets.R,S207),"-")</f>
        <v>0.2</v>
      </c>
      <c r="N207" s="798">
        <f t="shared" ref="N207:N221" si="45">IFERROR(INDEX(ICS.NL.Corr.P_R,MATCH(K207,ICS.NL.CategMapping,0)),1)</f>
        <v>0.5</v>
      </c>
      <c r="P207" s="699" t="s">
        <v>87</v>
      </c>
      <c r="R207" s="785">
        <v>2</v>
      </c>
      <c r="S207" s="743">
        <v>2</v>
      </c>
      <c r="AJ207" s="700"/>
      <c r="AK207" s="761"/>
      <c r="AL207" s="702"/>
      <c r="AM207" s="795"/>
      <c r="AN207" s="795"/>
      <c r="AO207" s="795"/>
      <c r="AP207" s="699" t="s">
        <v>87</v>
      </c>
      <c r="AQ207" s="719"/>
    </row>
    <row r="208" spans="1:43" ht="14.25" x14ac:dyDescent="0.2">
      <c r="A208" s="641" t="s">
        <v>903</v>
      </c>
      <c r="B208" s="169">
        <v>2</v>
      </c>
      <c r="C208" s="285" t="str">
        <f t="shared" si="41"/>
        <v>-</v>
      </c>
      <c r="D208" s="739" t="str">
        <f t="shared" si="42"/>
        <v>-</v>
      </c>
      <c r="E208" s="137" t="s">
        <v>90</v>
      </c>
      <c r="F208" s="794" t="s">
        <v>90</v>
      </c>
      <c r="G208" s="137" t="s">
        <v>90</v>
      </c>
      <c r="H208" s="137" t="s">
        <v>90</v>
      </c>
      <c r="I208" s="137" t="s">
        <v>90</v>
      </c>
      <c r="J208" s="137" t="s">
        <v>90</v>
      </c>
      <c r="K208" s="786" t="s">
        <v>350</v>
      </c>
      <c r="L208" s="788">
        <f t="shared" si="43"/>
        <v>0.25</v>
      </c>
      <c r="M208" s="788">
        <f t="shared" si="44"/>
        <v>0.2</v>
      </c>
      <c r="N208" s="788">
        <f t="shared" si="45"/>
        <v>0.5</v>
      </c>
      <c r="P208" s="699" t="s">
        <v>87</v>
      </c>
      <c r="R208" s="785">
        <v>2</v>
      </c>
      <c r="S208" s="743">
        <v>2</v>
      </c>
      <c r="AJ208" s="700"/>
      <c r="AK208" s="761"/>
      <c r="AL208" s="702"/>
      <c r="AM208" s="795"/>
      <c r="AN208" s="795"/>
      <c r="AO208" s="795"/>
      <c r="AP208" s="699" t="s">
        <v>87</v>
      </c>
      <c r="AQ208" s="719"/>
    </row>
    <row r="209" spans="1:43" ht="14.25" x14ac:dyDescent="0.2">
      <c r="A209" s="641" t="s">
        <v>807</v>
      </c>
      <c r="B209" s="169">
        <v>3</v>
      </c>
      <c r="C209" s="285" t="str">
        <f t="shared" si="41"/>
        <v>-</v>
      </c>
      <c r="D209" s="739" t="str">
        <f t="shared" si="42"/>
        <v>-</v>
      </c>
      <c r="E209" s="137" t="s">
        <v>90</v>
      </c>
      <c r="F209" s="794" t="s">
        <v>90</v>
      </c>
      <c r="G209" s="137" t="s">
        <v>90</v>
      </c>
      <c r="H209" s="137" t="s">
        <v>90</v>
      </c>
      <c r="I209" s="137" t="s">
        <v>90</v>
      </c>
      <c r="J209" s="137" t="s">
        <v>90</v>
      </c>
      <c r="K209" s="786" t="s">
        <v>709</v>
      </c>
      <c r="L209" s="788">
        <f t="shared" si="43"/>
        <v>0.25</v>
      </c>
      <c r="M209" s="788">
        <f t="shared" si="44"/>
        <v>0.2</v>
      </c>
      <c r="N209" s="788">
        <f t="shared" si="45"/>
        <v>0.25</v>
      </c>
      <c r="P209" s="699" t="s">
        <v>87</v>
      </c>
      <c r="R209" s="785">
        <v>2</v>
      </c>
      <c r="S209" s="743">
        <v>2</v>
      </c>
      <c r="AJ209" s="700"/>
      <c r="AK209" s="761"/>
      <c r="AL209" s="702"/>
      <c r="AM209" s="795"/>
      <c r="AN209" s="795"/>
      <c r="AO209" s="795"/>
      <c r="AP209" s="699" t="s">
        <v>87</v>
      </c>
      <c r="AQ209" s="719"/>
    </row>
    <row r="210" spans="1:43" ht="14.25" x14ac:dyDescent="0.2">
      <c r="A210" s="641" t="s">
        <v>904</v>
      </c>
      <c r="B210" s="169">
        <v>4</v>
      </c>
      <c r="C210" s="285" t="str">
        <f t="shared" si="41"/>
        <v>-</v>
      </c>
      <c r="D210" s="739" t="str">
        <f t="shared" si="42"/>
        <v>-</v>
      </c>
      <c r="E210" s="137" t="s">
        <v>90</v>
      </c>
      <c r="F210" s="794" t="s">
        <v>90</v>
      </c>
      <c r="G210" s="137" t="s">
        <v>90</v>
      </c>
      <c r="H210" s="137" t="s">
        <v>90</v>
      </c>
      <c r="I210" s="794" t="s">
        <v>90</v>
      </c>
      <c r="J210" s="137" t="s">
        <v>90</v>
      </c>
      <c r="K210" s="786" t="s">
        <v>709</v>
      </c>
      <c r="L210" s="788">
        <f t="shared" si="43"/>
        <v>0.3</v>
      </c>
      <c r="M210" s="788">
        <f t="shared" si="44"/>
        <v>0.25</v>
      </c>
      <c r="N210" s="788">
        <f t="shared" si="45"/>
        <v>0.25</v>
      </c>
      <c r="P210" s="699" t="s">
        <v>87</v>
      </c>
      <c r="R210" s="785">
        <v>3</v>
      </c>
      <c r="S210" s="743">
        <v>3</v>
      </c>
      <c r="AJ210" s="700"/>
      <c r="AK210" s="761"/>
      <c r="AL210" s="702"/>
      <c r="AM210" s="795"/>
      <c r="AN210" s="795"/>
      <c r="AO210" s="795"/>
      <c r="AP210" s="699" t="s">
        <v>87</v>
      </c>
      <c r="AQ210" s="719"/>
    </row>
    <row r="211" spans="1:43" ht="14.25" x14ac:dyDescent="0.2">
      <c r="A211" s="641" t="s">
        <v>195</v>
      </c>
      <c r="B211" s="169">
        <v>5</v>
      </c>
      <c r="C211" s="285" t="str">
        <f t="shared" si="41"/>
        <v>-</v>
      </c>
      <c r="D211" s="739" t="str">
        <f t="shared" si="42"/>
        <v>-</v>
      </c>
      <c r="E211" s="137" t="s">
        <v>90</v>
      </c>
      <c r="F211" s="794" t="s">
        <v>90</v>
      </c>
      <c r="G211" s="137" t="s">
        <v>90</v>
      </c>
      <c r="H211" s="137" t="s">
        <v>90</v>
      </c>
      <c r="I211" s="794" t="s">
        <v>90</v>
      </c>
      <c r="J211" s="137" t="s">
        <v>90</v>
      </c>
      <c r="K211" s="786" t="s">
        <v>709</v>
      </c>
      <c r="L211" s="788">
        <f t="shared" si="43"/>
        <v>0.3</v>
      </c>
      <c r="M211" s="788">
        <f t="shared" si="44"/>
        <v>0.25</v>
      </c>
      <c r="N211" s="788">
        <f t="shared" si="45"/>
        <v>0.25</v>
      </c>
      <c r="P211" s="699" t="s">
        <v>87</v>
      </c>
      <c r="R211" s="785">
        <v>3</v>
      </c>
      <c r="S211" s="743">
        <v>3</v>
      </c>
      <c r="AJ211" s="700"/>
      <c r="AK211" s="761"/>
      <c r="AL211" s="702"/>
      <c r="AM211" s="795"/>
      <c r="AN211" s="795"/>
      <c r="AO211" s="795"/>
      <c r="AP211" s="699" t="s">
        <v>87</v>
      </c>
      <c r="AQ211" s="719"/>
    </row>
    <row r="212" spans="1:43" ht="14.25" x14ac:dyDescent="0.2">
      <c r="A212" s="641" t="s">
        <v>905</v>
      </c>
      <c r="B212" s="169">
        <v>6</v>
      </c>
      <c r="C212" s="285" t="str">
        <f t="shared" si="41"/>
        <v>-</v>
      </c>
      <c r="D212" s="739" t="str">
        <f t="shared" si="42"/>
        <v>-</v>
      </c>
      <c r="E212" s="137" t="s">
        <v>90</v>
      </c>
      <c r="F212" s="794" t="s">
        <v>90</v>
      </c>
      <c r="G212" s="137" t="s">
        <v>90</v>
      </c>
      <c r="H212" s="137" t="s">
        <v>90</v>
      </c>
      <c r="I212" s="794" t="s">
        <v>90</v>
      </c>
      <c r="J212" s="137" t="s">
        <v>90</v>
      </c>
      <c r="K212" s="786" t="s">
        <v>710</v>
      </c>
      <c r="L212" s="788">
        <f t="shared" si="43"/>
        <v>0.3</v>
      </c>
      <c r="M212" s="788">
        <f t="shared" si="44"/>
        <v>0.25</v>
      </c>
      <c r="N212" s="788">
        <f t="shared" si="45"/>
        <v>0.75</v>
      </c>
      <c r="P212" s="699" t="s">
        <v>87</v>
      </c>
      <c r="R212" s="785">
        <v>3</v>
      </c>
      <c r="S212" s="743">
        <v>3</v>
      </c>
      <c r="AJ212" s="700"/>
      <c r="AK212" s="761"/>
      <c r="AL212" s="702"/>
      <c r="AM212" s="795"/>
      <c r="AN212" s="795"/>
      <c r="AO212" s="795"/>
      <c r="AP212" s="699" t="s">
        <v>87</v>
      </c>
      <c r="AQ212" s="719"/>
    </row>
    <row r="213" spans="1:43" ht="14.25" x14ac:dyDescent="0.2">
      <c r="A213" s="641" t="s">
        <v>906</v>
      </c>
      <c r="B213" s="169">
        <v>7</v>
      </c>
      <c r="C213" s="285" t="str">
        <f t="shared" si="41"/>
        <v>-</v>
      </c>
      <c r="D213" s="739" t="str">
        <f t="shared" si="42"/>
        <v>-</v>
      </c>
      <c r="E213" s="137" t="s">
        <v>90</v>
      </c>
      <c r="F213" s="794" t="s">
        <v>90</v>
      </c>
      <c r="G213" s="137" t="s">
        <v>90</v>
      </c>
      <c r="H213" s="137" t="s">
        <v>90</v>
      </c>
      <c r="I213" s="794" t="s">
        <v>90</v>
      </c>
      <c r="J213" s="137" t="s">
        <v>90</v>
      </c>
      <c r="K213" s="786" t="s">
        <v>707</v>
      </c>
      <c r="L213" s="788">
        <f t="shared" si="43"/>
        <v>0.3</v>
      </c>
      <c r="M213" s="788">
        <f t="shared" si="44"/>
        <v>0.25</v>
      </c>
      <c r="N213" s="788">
        <f t="shared" si="45"/>
        <v>0.75</v>
      </c>
      <c r="P213" s="699" t="s">
        <v>87</v>
      </c>
      <c r="R213" s="785">
        <v>3</v>
      </c>
      <c r="S213" s="743">
        <v>3</v>
      </c>
      <c r="AJ213" s="700"/>
      <c r="AK213" s="761"/>
      <c r="AL213" s="702"/>
      <c r="AM213" s="795"/>
      <c r="AN213" s="795"/>
      <c r="AO213" s="795"/>
      <c r="AP213" s="699" t="s">
        <v>87</v>
      </c>
      <c r="AQ213" s="719"/>
    </row>
    <row r="214" spans="1:43" ht="14.25" x14ac:dyDescent="0.2">
      <c r="A214" s="641" t="s">
        <v>907</v>
      </c>
      <c r="B214" s="169">
        <v>8</v>
      </c>
      <c r="C214" s="285" t="str">
        <f t="shared" si="41"/>
        <v>-</v>
      </c>
      <c r="D214" s="739" t="str">
        <f t="shared" si="42"/>
        <v>-</v>
      </c>
      <c r="E214" s="137" t="s">
        <v>90</v>
      </c>
      <c r="F214" s="794" t="s">
        <v>90</v>
      </c>
      <c r="G214" s="137" t="s">
        <v>90</v>
      </c>
      <c r="H214" s="137" t="s">
        <v>90</v>
      </c>
      <c r="I214" s="794" t="s">
        <v>90</v>
      </c>
      <c r="J214" s="137" t="s">
        <v>90</v>
      </c>
      <c r="K214" s="786" t="s">
        <v>709</v>
      </c>
      <c r="L214" s="788">
        <f t="shared" si="43"/>
        <v>0.3</v>
      </c>
      <c r="M214" s="788">
        <f t="shared" si="44"/>
        <v>0.25</v>
      </c>
      <c r="N214" s="788">
        <f t="shared" si="45"/>
        <v>0.25</v>
      </c>
      <c r="P214" s="699" t="s">
        <v>87</v>
      </c>
      <c r="R214" s="785">
        <v>3</v>
      </c>
      <c r="S214" s="743">
        <v>3</v>
      </c>
      <c r="AJ214" s="700"/>
      <c r="AK214" s="761"/>
      <c r="AL214" s="702"/>
      <c r="AM214" s="795"/>
      <c r="AN214" s="795"/>
      <c r="AO214" s="795"/>
      <c r="AP214" s="699" t="s">
        <v>87</v>
      </c>
      <c r="AQ214" s="719"/>
    </row>
    <row r="215" spans="1:43" ht="14.25" x14ac:dyDescent="0.2">
      <c r="A215" s="641" t="s">
        <v>700</v>
      </c>
      <c r="B215" s="169">
        <v>9</v>
      </c>
      <c r="C215" s="285" t="str">
        <f t="shared" si="41"/>
        <v>-</v>
      </c>
      <c r="D215" s="739" t="str">
        <f t="shared" si="42"/>
        <v>-</v>
      </c>
      <c r="E215" s="137" t="s">
        <v>90</v>
      </c>
      <c r="F215" s="794" t="s">
        <v>90</v>
      </c>
      <c r="G215" s="137" t="s">
        <v>90</v>
      </c>
      <c r="H215" s="137" t="s">
        <v>90</v>
      </c>
      <c r="I215" s="794" t="s">
        <v>90</v>
      </c>
      <c r="J215" s="137" t="s">
        <v>90</v>
      </c>
      <c r="K215" s="786" t="s">
        <v>707</v>
      </c>
      <c r="L215" s="788">
        <f t="shared" si="43"/>
        <v>0.3</v>
      </c>
      <c r="M215" s="788">
        <f t="shared" si="44"/>
        <v>0.25</v>
      </c>
      <c r="N215" s="788">
        <f t="shared" si="45"/>
        <v>0.75</v>
      </c>
      <c r="P215" s="699" t="s">
        <v>87</v>
      </c>
      <c r="R215" s="785">
        <v>3</v>
      </c>
      <c r="S215" s="743">
        <v>3</v>
      </c>
      <c r="AJ215" s="700"/>
      <c r="AK215" s="761"/>
      <c r="AL215" s="702"/>
      <c r="AM215" s="795"/>
      <c r="AN215" s="795"/>
      <c r="AO215" s="795"/>
      <c r="AP215" s="699" t="s">
        <v>87</v>
      </c>
      <c r="AQ215" s="719"/>
    </row>
    <row r="216" spans="1:43" ht="14.25" x14ac:dyDescent="0.2">
      <c r="A216" s="641" t="s">
        <v>782</v>
      </c>
      <c r="B216" s="169">
        <v>10</v>
      </c>
      <c r="C216" s="285" t="str">
        <f t="shared" si="41"/>
        <v>-</v>
      </c>
      <c r="D216" s="739" t="str">
        <f t="shared" si="42"/>
        <v>-</v>
      </c>
      <c r="E216" s="137" t="s">
        <v>90</v>
      </c>
      <c r="F216" s="794" t="s">
        <v>90</v>
      </c>
      <c r="G216" s="137" t="s">
        <v>90</v>
      </c>
      <c r="H216" s="137" t="s">
        <v>90</v>
      </c>
      <c r="I216" s="794" t="s">
        <v>90</v>
      </c>
      <c r="J216" s="137" t="s">
        <v>90</v>
      </c>
      <c r="K216" s="786" t="s">
        <v>706</v>
      </c>
      <c r="L216" s="788">
        <f t="shared" si="43"/>
        <v>0.3</v>
      </c>
      <c r="M216" s="788">
        <f t="shared" si="44"/>
        <v>0.25</v>
      </c>
      <c r="N216" s="788">
        <f t="shared" si="45"/>
        <v>0.75</v>
      </c>
      <c r="P216" s="699" t="s">
        <v>87</v>
      </c>
      <c r="R216" s="785">
        <v>3</v>
      </c>
      <c r="S216" s="743">
        <v>3</v>
      </c>
      <c r="AJ216" s="700"/>
      <c r="AK216" s="761"/>
      <c r="AL216" s="702"/>
      <c r="AM216" s="795"/>
      <c r="AN216" s="795"/>
      <c r="AO216" s="795"/>
      <c r="AP216" s="699" t="s">
        <v>87</v>
      </c>
      <c r="AQ216" s="719"/>
    </row>
    <row r="217" spans="1:43" ht="14.25" x14ac:dyDescent="0.2">
      <c r="A217" s="641" t="s">
        <v>908</v>
      </c>
      <c r="B217" s="169">
        <v>11</v>
      </c>
      <c r="C217" s="285" t="str">
        <f t="shared" si="41"/>
        <v>-</v>
      </c>
      <c r="D217" s="739" t="str">
        <f t="shared" si="42"/>
        <v>-</v>
      </c>
      <c r="E217" s="137" t="s">
        <v>90</v>
      </c>
      <c r="F217" s="794" t="s">
        <v>90</v>
      </c>
      <c r="G217" s="137" t="s">
        <v>90</v>
      </c>
      <c r="H217" s="137" t="s">
        <v>90</v>
      </c>
      <c r="I217" s="794" t="s">
        <v>90</v>
      </c>
      <c r="J217" s="137" t="s">
        <v>90</v>
      </c>
      <c r="K217" s="786" t="s">
        <v>350</v>
      </c>
      <c r="L217" s="788">
        <f t="shared" si="43"/>
        <v>0.3</v>
      </c>
      <c r="M217" s="788">
        <f t="shared" si="44"/>
        <v>0.25</v>
      </c>
      <c r="N217" s="788">
        <f t="shared" si="45"/>
        <v>0.5</v>
      </c>
      <c r="P217" s="699" t="s">
        <v>87</v>
      </c>
      <c r="R217" s="785">
        <v>3</v>
      </c>
      <c r="S217" s="743">
        <v>3</v>
      </c>
      <c r="AJ217" s="700"/>
      <c r="AK217" s="761"/>
      <c r="AL217" s="702"/>
      <c r="AM217" s="795"/>
      <c r="AN217" s="795"/>
      <c r="AO217" s="795"/>
      <c r="AP217" s="699" t="s">
        <v>87</v>
      </c>
      <c r="AQ217" s="719"/>
    </row>
    <row r="218" spans="1:43" ht="14.25" x14ac:dyDescent="0.2">
      <c r="A218" s="641" t="s">
        <v>909</v>
      </c>
      <c r="B218" s="169">
        <v>12</v>
      </c>
      <c r="C218" s="285" t="str">
        <f t="shared" si="41"/>
        <v>-</v>
      </c>
      <c r="D218" s="739" t="str">
        <f t="shared" si="42"/>
        <v>-</v>
      </c>
      <c r="E218" s="137" t="s">
        <v>90</v>
      </c>
      <c r="F218" s="794" t="s">
        <v>90</v>
      </c>
      <c r="G218" s="137" t="s">
        <v>90</v>
      </c>
      <c r="H218" s="137" t="s">
        <v>90</v>
      </c>
      <c r="I218" s="794" t="s">
        <v>90</v>
      </c>
      <c r="J218" s="137" t="s">
        <v>90</v>
      </c>
      <c r="K218" s="786" t="s">
        <v>709</v>
      </c>
      <c r="L218" s="788">
        <f t="shared" si="43"/>
        <v>0.35</v>
      </c>
      <c r="M218" s="788">
        <f t="shared" si="44"/>
        <v>0.3</v>
      </c>
      <c r="N218" s="788">
        <f t="shared" si="45"/>
        <v>0.25</v>
      </c>
      <c r="P218" s="699" t="s">
        <v>87</v>
      </c>
      <c r="R218" s="785">
        <v>4</v>
      </c>
      <c r="S218" s="743">
        <v>4</v>
      </c>
      <c r="AJ218" s="700"/>
      <c r="AK218" s="761"/>
      <c r="AL218" s="702"/>
      <c r="AM218" s="795"/>
      <c r="AN218" s="795"/>
      <c r="AO218" s="795"/>
      <c r="AP218" s="699" t="s">
        <v>87</v>
      </c>
      <c r="AQ218" s="719"/>
    </row>
    <row r="219" spans="1:43" ht="14.25" x14ac:dyDescent="0.2">
      <c r="A219" s="641" t="s">
        <v>910</v>
      </c>
      <c r="B219" s="169">
        <v>13</v>
      </c>
      <c r="C219" s="285" t="str">
        <f t="shared" si="41"/>
        <v>-</v>
      </c>
      <c r="D219" s="739" t="str">
        <f t="shared" si="42"/>
        <v>-</v>
      </c>
      <c r="E219" s="137" t="s">
        <v>90</v>
      </c>
      <c r="F219" s="794" t="s">
        <v>90</v>
      </c>
      <c r="G219" s="137" t="s">
        <v>90</v>
      </c>
      <c r="H219" s="137" t="s">
        <v>90</v>
      </c>
      <c r="I219" s="794" t="s">
        <v>90</v>
      </c>
      <c r="J219" s="137" t="s">
        <v>90</v>
      </c>
      <c r="K219" s="786" t="s">
        <v>710</v>
      </c>
      <c r="L219" s="788">
        <f t="shared" si="43"/>
        <v>0.35</v>
      </c>
      <c r="M219" s="788">
        <f t="shared" si="44"/>
        <v>0.3</v>
      </c>
      <c r="N219" s="788">
        <f t="shared" si="45"/>
        <v>0.75</v>
      </c>
      <c r="P219" s="699" t="s">
        <v>87</v>
      </c>
      <c r="R219" s="785">
        <v>4</v>
      </c>
      <c r="S219" s="743">
        <v>4</v>
      </c>
      <c r="AJ219" s="700"/>
      <c r="AK219" s="761"/>
      <c r="AL219" s="702"/>
      <c r="AM219" s="795"/>
      <c r="AN219" s="795"/>
      <c r="AO219" s="795"/>
      <c r="AP219" s="699" t="s">
        <v>87</v>
      </c>
      <c r="AQ219" s="719"/>
    </row>
    <row r="220" spans="1:43" ht="14.25" x14ac:dyDescent="0.2">
      <c r="A220" s="641" t="s">
        <v>911</v>
      </c>
      <c r="B220" s="169">
        <v>14</v>
      </c>
      <c r="C220" s="285" t="str">
        <f t="shared" si="41"/>
        <v>-</v>
      </c>
      <c r="D220" s="739" t="str">
        <f t="shared" si="42"/>
        <v>-</v>
      </c>
      <c r="E220" s="137" t="s">
        <v>90</v>
      </c>
      <c r="F220" s="794" t="s">
        <v>90</v>
      </c>
      <c r="G220" s="137" t="s">
        <v>90</v>
      </c>
      <c r="H220" s="137" t="s">
        <v>90</v>
      </c>
      <c r="I220" s="794" t="s">
        <v>90</v>
      </c>
      <c r="J220" s="137" t="s">
        <v>90</v>
      </c>
      <c r="K220" s="786" t="s">
        <v>710</v>
      </c>
      <c r="L220" s="788">
        <f t="shared" si="43"/>
        <v>0.35</v>
      </c>
      <c r="M220" s="788">
        <f t="shared" si="44"/>
        <v>0.3</v>
      </c>
      <c r="N220" s="788">
        <f t="shared" si="45"/>
        <v>0.75</v>
      </c>
      <c r="P220" s="699" t="s">
        <v>87</v>
      </c>
      <c r="R220" s="785">
        <v>4</v>
      </c>
      <c r="S220" s="743">
        <v>4</v>
      </c>
      <c r="AJ220" s="700"/>
      <c r="AK220" s="761"/>
      <c r="AL220" s="702"/>
      <c r="AM220" s="795"/>
      <c r="AN220" s="795"/>
      <c r="AO220" s="795"/>
      <c r="AP220" s="699" t="s">
        <v>87</v>
      </c>
      <c r="AQ220" s="719"/>
    </row>
    <row r="221" spans="1:43" ht="14.25" x14ac:dyDescent="0.2">
      <c r="A221" s="97" t="s">
        <v>912</v>
      </c>
      <c r="B221" s="162">
        <v>15</v>
      </c>
      <c r="C221" s="153" t="str">
        <f t="shared" si="41"/>
        <v>-</v>
      </c>
      <c r="D221" s="756" t="str">
        <f t="shared" si="42"/>
        <v>-</v>
      </c>
      <c r="E221" s="139" t="s">
        <v>90</v>
      </c>
      <c r="F221" s="796" t="s">
        <v>90</v>
      </c>
      <c r="G221" s="139" t="s">
        <v>90</v>
      </c>
      <c r="H221" s="139" t="s">
        <v>90</v>
      </c>
      <c r="I221" s="796" t="s">
        <v>90</v>
      </c>
      <c r="J221" s="139" t="s">
        <v>90</v>
      </c>
      <c r="K221" s="789" t="s">
        <v>710</v>
      </c>
      <c r="L221" s="791">
        <f t="shared" si="43"/>
        <v>0.35</v>
      </c>
      <c r="M221" s="791">
        <f t="shared" si="44"/>
        <v>0.3</v>
      </c>
      <c r="N221" s="791">
        <f t="shared" si="45"/>
        <v>0.75</v>
      </c>
      <c r="P221" s="699" t="s">
        <v>87</v>
      </c>
      <c r="R221" s="792">
        <v>4</v>
      </c>
      <c r="S221" s="762">
        <v>4</v>
      </c>
      <c r="AJ221" s="700"/>
      <c r="AK221" s="761"/>
      <c r="AL221" s="702"/>
      <c r="AM221" s="795"/>
      <c r="AN221" s="795"/>
      <c r="AO221" s="795"/>
      <c r="AP221" s="699" t="s">
        <v>87</v>
      </c>
      <c r="AQ221" s="719"/>
    </row>
    <row r="222" spans="1:43" ht="14.25" x14ac:dyDescent="0.2">
      <c r="P222" s="699" t="s">
        <v>87</v>
      </c>
      <c r="AJ222" s="700"/>
      <c r="AK222" s="761"/>
      <c r="AL222" s="702"/>
      <c r="AM222" s="795"/>
      <c r="AN222" s="795"/>
      <c r="AO222" s="795"/>
      <c r="AP222" s="699" t="s">
        <v>87</v>
      </c>
      <c r="AQ222" s="719"/>
    </row>
    <row r="223" spans="1:43" ht="14.25" x14ac:dyDescent="0.2">
      <c r="A223" s="793" t="str">
        <f>$A$17</f>
        <v>Detailed information for</v>
      </c>
      <c r="B223" s="764"/>
      <c r="C223" s="765" t="s">
        <v>731</v>
      </c>
      <c r="D223" s="766" t="s">
        <v>732</v>
      </c>
      <c r="E223" s="767"/>
      <c r="F223" s="767"/>
      <c r="G223" s="768"/>
      <c r="H223" s="769" t="s">
        <v>733</v>
      </c>
      <c r="I223" s="770"/>
      <c r="J223" s="770"/>
      <c r="K223" s="771" t="s">
        <v>33</v>
      </c>
      <c r="L223" s="772" t="s">
        <v>734</v>
      </c>
      <c r="M223" s="770"/>
      <c r="N223" s="770"/>
      <c r="P223" s="699" t="s">
        <v>87</v>
      </c>
      <c r="R223" s="773" t="s">
        <v>735</v>
      </c>
      <c r="S223" s="770"/>
      <c r="AJ223" s="700"/>
      <c r="AK223" s="761"/>
      <c r="AL223" s="702"/>
      <c r="AM223" s="795"/>
      <c r="AN223" s="795"/>
      <c r="AO223" s="795"/>
      <c r="AP223" s="699" t="s">
        <v>87</v>
      </c>
      <c r="AQ223" s="719"/>
    </row>
    <row r="224" spans="1:43" ht="15" x14ac:dyDescent="0.25">
      <c r="A224" s="774" t="s">
        <v>913</v>
      </c>
      <c r="B224" s="775"/>
      <c r="C224" s="776" t="s">
        <v>736</v>
      </c>
      <c r="D224" s="777" t="s">
        <v>173</v>
      </c>
      <c r="E224" s="777" t="s">
        <v>737</v>
      </c>
      <c r="F224" s="777" t="s">
        <v>738</v>
      </c>
      <c r="G224" s="777" t="s">
        <v>739</v>
      </c>
      <c r="H224" s="777" t="s">
        <v>737</v>
      </c>
      <c r="I224" s="777" t="s">
        <v>738</v>
      </c>
      <c r="J224" s="777" t="s">
        <v>740</v>
      </c>
      <c r="K224" s="778" t="s">
        <v>8</v>
      </c>
      <c r="L224" s="779" t="s">
        <v>741</v>
      </c>
      <c r="M224" s="779" t="s">
        <v>742</v>
      </c>
      <c r="N224" s="780" t="s">
        <v>743</v>
      </c>
      <c r="P224" s="699" t="s">
        <v>87</v>
      </c>
      <c r="R224" s="777" t="s">
        <v>744</v>
      </c>
      <c r="S224" s="777" t="s">
        <v>745</v>
      </c>
      <c r="AJ224" s="700"/>
      <c r="AK224" s="761"/>
      <c r="AL224" s="702"/>
      <c r="AM224" s="795"/>
      <c r="AN224" s="795"/>
      <c r="AO224" s="795"/>
      <c r="AP224" s="699" t="s">
        <v>87</v>
      </c>
      <c r="AQ224" s="719"/>
    </row>
    <row r="225" spans="1:43" ht="14.25" x14ac:dyDescent="0.2">
      <c r="A225" s="662"/>
      <c r="B225" s="104">
        <v>164</v>
      </c>
      <c r="C225" s="167" t="s">
        <v>746</v>
      </c>
      <c r="D225" s="167" t="s">
        <v>747</v>
      </c>
      <c r="E225" s="167">
        <v>3</v>
      </c>
      <c r="F225" s="167">
        <v>4</v>
      </c>
      <c r="G225" s="167">
        <v>5</v>
      </c>
      <c r="H225" s="167">
        <v>6</v>
      </c>
      <c r="I225" s="167">
        <v>7</v>
      </c>
      <c r="J225" s="167">
        <v>8</v>
      </c>
      <c r="K225" s="167"/>
      <c r="L225" s="167"/>
      <c r="M225" s="167"/>
      <c r="N225" s="214"/>
      <c r="P225" s="699" t="s">
        <v>87</v>
      </c>
      <c r="R225" s="781"/>
      <c r="S225" s="106"/>
      <c r="AJ225" s="700"/>
      <c r="AK225" s="761"/>
      <c r="AL225" s="702"/>
      <c r="AM225" s="795"/>
      <c r="AN225" s="795"/>
      <c r="AO225" s="795"/>
      <c r="AP225" s="699" t="s">
        <v>87</v>
      </c>
      <c r="AQ225" s="719"/>
    </row>
    <row r="226" spans="1:43" ht="14.25" x14ac:dyDescent="0.2">
      <c r="A226" s="641" t="s">
        <v>914</v>
      </c>
      <c r="B226" s="169">
        <v>1</v>
      </c>
      <c r="C226" s="285" t="str">
        <f t="shared" ref="C226:C252" si="46">IF(OR(D226&lt;&gt;"-",I226&lt;&gt;"-"),SQRT(PRODUCT(L226,SUM(D226))^2+PRODUCT(M226,SUM(I226))^2+2*PRODUCT(N226,L226,SUM(D226),M226,SUM(I226))),"-")</f>
        <v>-</v>
      </c>
      <c r="D226" s="739" t="str">
        <f t="shared" ref="D226:D252" si="47">IF(OR(F226&lt;&gt;"-",G226&lt;&gt;"-"),MAX(SUM(F226),SUM(G226)),"-")</f>
        <v>-</v>
      </c>
      <c r="E226" s="149" t="s">
        <v>90</v>
      </c>
      <c r="F226" s="797" t="s">
        <v>90</v>
      </c>
      <c r="G226" s="149" t="s">
        <v>90</v>
      </c>
      <c r="H226" s="137" t="s">
        <v>90</v>
      </c>
      <c r="I226" s="794" t="s">
        <v>90</v>
      </c>
      <c r="J226" s="137" t="s">
        <v>90</v>
      </c>
      <c r="K226" s="786" t="s">
        <v>709</v>
      </c>
      <c r="L226" s="788">
        <f t="shared" ref="L226:L252" si="48">IFERROR(INDEX(ICS.NL.Buckets.P,R226),"-")</f>
        <v>0.15</v>
      </c>
      <c r="M226" s="788">
        <f t="shared" ref="M226:M252" si="49">IFERROR(INDEX(ICS.NL.Buckets.R,S226),"-")</f>
        <v>0.5</v>
      </c>
      <c r="N226" s="788">
        <f t="shared" ref="N226:N252" si="50">IFERROR(INDEX(ICS.NL.Corr.P_R,MATCH(K226,ICS.NL.CategMapping,0)),1)</f>
        <v>0.25</v>
      </c>
      <c r="P226" s="699" t="s">
        <v>87</v>
      </c>
      <c r="R226" s="785">
        <v>1</v>
      </c>
      <c r="S226" s="743">
        <v>8</v>
      </c>
      <c r="AJ226" s="700"/>
      <c r="AK226" s="761"/>
      <c r="AL226" s="702"/>
      <c r="AM226" s="795"/>
      <c r="AN226" s="795"/>
      <c r="AO226" s="795"/>
      <c r="AP226" s="699" t="s">
        <v>87</v>
      </c>
      <c r="AQ226" s="719"/>
    </row>
    <row r="227" spans="1:43" ht="14.25" x14ac:dyDescent="0.2">
      <c r="A227" s="641" t="s">
        <v>915</v>
      </c>
      <c r="B227" s="169">
        <v>2</v>
      </c>
      <c r="C227" s="285" t="str">
        <f t="shared" si="46"/>
        <v>-</v>
      </c>
      <c r="D227" s="739" t="str">
        <f t="shared" si="47"/>
        <v>-</v>
      </c>
      <c r="E227" s="137" t="s">
        <v>90</v>
      </c>
      <c r="F227" s="794" t="s">
        <v>90</v>
      </c>
      <c r="G227" s="137" t="s">
        <v>90</v>
      </c>
      <c r="H227" s="137" t="s">
        <v>90</v>
      </c>
      <c r="I227" s="794" t="s">
        <v>90</v>
      </c>
      <c r="J227" s="137" t="s">
        <v>90</v>
      </c>
      <c r="K227" s="786" t="s">
        <v>709</v>
      </c>
      <c r="L227" s="788">
        <f t="shared" si="48"/>
        <v>0.15</v>
      </c>
      <c r="M227" s="788">
        <f t="shared" si="49"/>
        <v>0.5</v>
      </c>
      <c r="N227" s="788">
        <f t="shared" si="50"/>
        <v>0.25</v>
      </c>
      <c r="P227" s="699" t="s">
        <v>87</v>
      </c>
      <c r="R227" s="785">
        <v>1</v>
      </c>
      <c r="S227" s="743">
        <v>8</v>
      </c>
      <c r="AJ227" s="700"/>
      <c r="AK227" s="761"/>
      <c r="AL227" s="702"/>
      <c r="AM227" s="795"/>
      <c r="AN227" s="795"/>
      <c r="AO227" s="795"/>
      <c r="AP227" s="699" t="s">
        <v>87</v>
      </c>
      <c r="AQ227" s="719"/>
    </row>
    <row r="228" spans="1:43" ht="14.25" x14ac:dyDescent="0.2">
      <c r="A228" s="641" t="s">
        <v>916</v>
      </c>
      <c r="B228" s="169">
        <v>3</v>
      </c>
      <c r="C228" s="285" t="str">
        <f t="shared" si="46"/>
        <v>-</v>
      </c>
      <c r="D228" s="739" t="str">
        <f t="shared" si="47"/>
        <v>-</v>
      </c>
      <c r="E228" s="137" t="s">
        <v>90</v>
      </c>
      <c r="F228" s="794" t="s">
        <v>90</v>
      </c>
      <c r="G228" s="137" t="s">
        <v>90</v>
      </c>
      <c r="H228" s="137" t="s">
        <v>90</v>
      </c>
      <c r="I228" s="794" t="s">
        <v>90</v>
      </c>
      <c r="J228" s="137" t="s">
        <v>90</v>
      </c>
      <c r="K228" s="786" t="s">
        <v>709</v>
      </c>
      <c r="L228" s="788">
        <f t="shared" si="48"/>
        <v>0.7</v>
      </c>
      <c r="M228" s="788">
        <f t="shared" si="49"/>
        <v>0.5</v>
      </c>
      <c r="N228" s="788">
        <f t="shared" si="50"/>
        <v>0.25</v>
      </c>
      <c r="P228" s="699" t="s">
        <v>87</v>
      </c>
      <c r="R228" s="785">
        <v>8</v>
      </c>
      <c r="S228" s="743">
        <v>8</v>
      </c>
      <c r="AJ228" s="700"/>
      <c r="AK228" s="761"/>
      <c r="AL228" s="702"/>
      <c r="AM228" s="795"/>
      <c r="AN228" s="795"/>
      <c r="AO228" s="795"/>
      <c r="AP228" s="699" t="s">
        <v>87</v>
      </c>
      <c r="AQ228" s="719"/>
    </row>
    <row r="229" spans="1:43" ht="14.25" x14ac:dyDescent="0.2">
      <c r="A229" s="641" t="s">
        <v>917</v>
      </c>
      <c r="B229" s="169">
        <v>4</v>
      </c>
      <c r="C229" s="285" t="str">
        <f t="shared" si="46"/>
        <v>-</v>
      </c>
      <c r="D229" s="739" t="str">
        <f t="shared" si="47"/>
        <v>-</v>
      </c>
      <c r="E229" s="137" t="s">
        <v>90</v>
      </c>
      <c r="F229" s="794" t="s">
        <v>90</v>
      </c>
      <c r="G229" s="137" t="s">
        <v>90</v>
      </c>
      <c r="H229" s="137" t="s">
        <v>90</v>
      </c>
      <c r="I229" s="794" t="s">
        <v>90</v>
      </c>
      <c r="J229" s="137" t="s">
        <v>90</v>
      </c>
      <c r="K229" s="786" t="s">
        <v>709</v>
      </c>
      <c r="L229" s="788">
        <f t="shared" si="48"/>
        <v>0.7</v>
      </c>
      <c r="M229" s="788">
        <f t="shared" si="49"/>
        <v>0.5</v>
      </c>
      <c r="N229" s="788">
        <f t="shared" si="50"/>
        <v>0.25</v>
      </c>
      <c r="P229" s="699" t="s">
        <v>87</v>
      </c>
      <c r="R229" s="785">
        <v>8</v>
      </c>
      <c r="S229" s="743">
        <v>8</v>
      </c>
      <c r="AJ229" s="700"/>
      <c r="AK229" s="761"/>
      <c r="AL229" s="702"/>
      <c r="AM229" s="795"/>
      <c r="AN229" s="795"/>
      <c r="AO229" s="795"/>
      <c r="AP229" s="699" t="s">
        <v>87</v>
      </c>
      <c r="AQ229" s="719"/>
    </row>
    <row r="230" spans="1:43" ht="14.25" x14ac:dyDescent="0.2">
      <c r="A230" s="641" t="s">
        <v>918</v>
      </c>
      <c r="B230" s="169">
        <v>5</v>
      </c>
      <c r="C230" s="285" t="str">
        <f t="shared" si="46"/>
        <v>-</v>
      </c>
      <c r="D230" s="739" t="str">
        <f t="shared" si="47"/>
        <v>-</v>
      </c>
      <c r="E230" s="137" t="s">
        <v>90</v>
      </c>
      <c r="F230" s="794" t="s">
        <v>90</v>
      </c>
      <c r="G230" s="137" t="s">
        <v>90</v>
      </c>
      <c r="H230" s="137" t="s">
        <v>90</v>
      </c>
      <c r="I230" s="794" t="s">
        <v>90</v>
      </c>
      <c r="J230" s="137" t="s">
        <v>90</v>
      </c>
      <c r="K230" s="786" t="s">
        <v>709</v>
      </c>
      <c r="L230" s="788">
        <f t="shared" si="48"/>
        <v>0.25</v>
      </c>
      <c r="M230" s="788">
        <f t="shared" si="49"/>
        <v>0.2</v>
      </c>
      <c r="N230" s="788">
        <f t="shared" si="50"/>
        <v>0.25</v>
      </c>
      <c r="P230" s="699" t="s">
        <v>87</v>
      </c>
      <c r="R230" s="785">
        <v>2</v>
      </c>
      <c r="S230" s="743">
        <v>2</v>
      </c>
      <c r="AJ230" s="700"/>
      <c r="AK230" s="761"/>
      <c r="AL230" s="702"/>
      <c r="AM230" s="795"/>
      <c r="AN230" s="795"/>
      <c r="AO230" s="795"/>
      <c r="AP230" s="699" t="s">
        <v>87</v>
      </c>
      <c r="AQ230" s="719"/>
    </row>
    <row r="231" spans="1:43" ht="14.25" x14ac:dyDescent="0.2">
      <c r="A231" s="641" t="s">
        <v>919</v>
      </c>
      <c r="B231" s="169">
        <v>6</v>
      </c>
      <c r="C231" s="285" t="str">
        <f t="shared" si="46"/>
        <v>-</v>
      </c>
      <c r="D231" s="739" t="str">
        <f t="shared" si="47"/>
        <v>-</v>
      </c>
      <c r="E231" s="137" t="s">
        <v>90</v>
      </c>
      <c r="F231" s="794" t="s">
        <v>90</v>
      </c>
      <c r="G231" s="137" t="s">
        <v>90</v>
      </c>
      <c r="H231" s="137" t="s">
        <v>90</v>
      </c>
      <c r="I231" s="794" t="s">
        <v>90</v>
      </c>
      <c r="J231" s="137" t="s">
        <v>90</v>
      </c>
      <c r="K231" s="786" t="s">
        <v>709</v>
      </c>
      <c r="L231" s="788">
        <f t="shared" si="48"/>
        <v>0.25</v>
      </c>
      <c r="M231" s="788">
        <f t="shared" si="49"/>
        <v>0.2</v>
      </c>
      <c r="N231" s="788">
        <f t="shared" si="50"/>
        <v>0.25</v>
      </c>
      <c r="P231" s="699" t="s">
        <v>87</v>
      </c>
      <c r="R231" s="785">
        <v>2</v>
      </c>
      <c r="S231" s="743">
        <v>2</v>
      </c>
      <c r="AJ231" s="700"/>
      <c r="AK231" s="761"/>
      <c r="AL231" s="702"/>
      <c r="AM231" s="795"/>
      <c r="AN231" s="795"/>
      <c r="AO231" s="795"/>
      <c r="AP231" s="699" t="s">
        <v>87</v>
      </c>
      <c r="AQ231" s="719"/>
    </row>
    <row r="232" spans="1:43" ht="14.25" x14ac:dyDescent="0.2">
      <c r="A232" s="641" t="s">
        <v>920</v>
      </c>
      <c r="B232" s="169">
        <v>7</v>
      </c>
      <c r="C232" s="285" t="str">
        <f t="shared" si="46"/>
        <v>-</v>
      </c>
      <c r="D232" s="739" t="str">
        <f t="shared" si="47"/>
        <v>-</v>
      </c>
      <c r="E232" s="137" t="s">
        <v>90</v>
      </c>
      <c r="F232" s="794" t="s">
        <v>90</v>
      </c>
      <c r="G232" s="137" t="s">
        <v>90</v>
      </c>
      <c r="H232" s="137" t="s">
        <v>90</v>
      </c>
      <c r="I232" s="794" t="s">
        <v>90</v>
      </c>
      <c r="J232" s="137" t="s">
        <v>90</v>
      </c>
      <c r="K232" s="786" t="s">
        <v>709</v>
      </c>
      <c r="L232" s="788">
        <f t="shared" si="48"/>
        <v>0.7</v>
      </c>
      <c r="M232" s="788">
        <f t="shared" si="49"/>
        <v>0.5</v>
      </c>
      <c r="N232" s="788">
        <f t="shared" si="50"/>
        <v>0.25</v>
      </c>
      <c r="P232" s="699" t="s">
        <v>87</v>
      </c>
      <c r="R232" s="785">
        <v>8</v>
      </c>
      <c r="S232" s="743">
        <v>8</v>
      </c>
      <c r="AJ232" s="700"/>
      <c r="AK232" s="761"/>
      <c r="AL232" s="702"/>
      <c r="AM232" s="795"/>
      <c r="AN232" s="795"/>
      <c r="AO232" s="795"/>
      <c r="AP232" s="699" t="s">
        <v>87</v>
      </c>
      <c r="AQ232" s="719"/>
    </row>
    <row r="233" spans="1:43" ht="14.25" x14ac:dyDescent="0.2">
      <c r="A233" s="641" t="s">
        <v>921</v>
      </c>
      <c r="B233" s="169">
        <v>8</v>
      </c>
      <c r="C233" s="285" t="str">
        <f t="shared" si="46"/>
        <v>-</v>
      </c>
      <c r="D233" s="739" t="str">
        <f t="shared" si="47"/>
        <v>-</v>
      </c>
      <c r="E233" s="137" t="s">
        <v>90</v>
      </c>
      <c r="F233" s="794" t="s">
        <v>90</v>
      </c>
      <c r="G233" s="137" t="s">
        <v>90</v>
      </c>
      <c r="H233" s="137" t="s">
        <v>90</v>
      </c>
      <c r="I233" s="794" t="s">
        <v>90</v>
      </c>
      <c r="J233" s="137" t="s">
        <v>90</v>
      </c>
      <c r="K233" s="786" t="s">
        <v>709</v>
      </c>
      <c r="L233" s="788">
        <f t="shared" si="48"/>
        <v>0.45</v>
      </c>
      <c r="M233" s="788">
        <f t="shared" si="49"/>
        <v>0.45</v>
      </c>
      <c r="N233" s="788">
        <f t="shared" si="50"/>
        <v>0.25</v>
      </c>
      <c r="P233" s="699" t="s">
        <v>87</v>
      </c>
      <c r="R233" s="785">
        <v>5</v>
      </c>
      <c r="S233" s="743">
        <v>7</v>
      </c>
      <c r="AJ233" s="700"/>
      <c r="AK233" s="761"/>
      <c r="AL233" s="702"/>
      <c r="AM233" s="795"/>
      <c r="AN233" s="795"/>
      <c r="AO233" s="795"/>
      <c r="AP233" s="699" t="s">
        <v>87</v>
      </c>
      <c r="AQ233" s="719"/>
    </row>
    <row r="234" spans="1:43" ht="14.25" x14ac:dyDescent="0.2">
      <c r="A234" s="641" t="s">
        <v>922</v>
      </c>
      <c r="B234" s="169">
        <v>9</v>
      </c>
      <c r="C234" s="285" t="str">
        <f t="shared" si="46"/>
        <v>-</v>
      </c>
      <c r="D234" s="739" t="str">
        <f t="shared" si="47"/>
        <v>-</v>
      </c>
      <c r="E234" s="137" t="s">
        <v>90</v>
      </c>
      <c r="F234" s="794" t="s">
        <v>90</v>
      </c>
      <c r="G234" s="137" t="s">
        <v>90</v>
      </c>
      <c r="H234" s="137" t="s">
        <v>90</v>
      </c>
      <c r="I234" s="794" t="s">
        <v>90</v>
      </c>
      <c r="J234" s="137" t="s">
        <v>90</v>
      </c>
      <c r="K234" s="786" t="s">
        <v>709</v>
      </c>
      <c r="L234" s="788">
        <f t="shared" si="48"/>
        <v>0.7</v>
      </c>
      <c r="M234" s="788">
        <f t="shared" si="49"/>
        <v>0.5</v>
      </c>
      <c r="N234" s="788">
        <f t="shared" si="50"/>
        <v>0.25</v>
      </c>
      <c r="P234" s="699" t="s">
        <v>87</v>
      </c>
      <c r="R234" s="785">
        <v>8</v>
      </c>
      <c r="S234" s="743">
        <v>8</v>
      </c>
      <c r="AJ234" s="700"/>
      <c r="AK234" s="761"/>
      <c r="AL234" s="702"/>
      <c r="AM234" s="795"/>
      <c r="AN234" s="795"/>
      <c r="AO234" s="795"/>
      <c r="AP234" s="699" t="s">
        <v>87</v>
      </c>
      <c r="AQ234" s="719"/>
    </row>
    <row r="235" spans="1:43" ht="14.25" x14ac:dyDescent="0.2">
      <c r="A235" s="641" t="s">
        <v>923</v>
      </c>
      <c r="B235" s="169">
        <v>10</v>
      </c>
      <c r="C235" s="285" t="str">
        <f t="shared" si="46"/>
        <v>-</v>
      </c>
      <c r="D235" s="739" t="str">
        <f t="shared" si="47"/>
        <v>-</v>
      </c>
      <c r="E235" s="137" t="s">
        <v>90</v>
      </c>
      <c r="F235" s="794" t="s">
        <v>90</v>
      </c>
      <c r="G235" s="137" t="s">
        <v>90</v>
      </c>
      <c r="H235" s="137" t="s">
        <v>90</v>
      </c>
      <c r="I235" s="794" t="s">
        <v>90</v>
      </c>
      <c r="J235" s="137" t="s">
        <v>90</v>
      </c>
      <c r="K235" s="786" t="s">
        <v>709</v>
      </c>
      <c r="L235" s="788">
        <f t="shared" si="48"/>
        <v>0.25</v>
      </c>
      <c r="M235" s="788">
        <f t="shared" si="49"/>
        <v>0.25</v>
      </c>
      <c r="N235" s="788">
        <f t="shared" si="50"/>
        <v>0.25</v>
      </c>
      <c r="P235" s="699" t="s">
        <v>87</v>
      </c>
      <c r="R235" s="785">
        <v>2</v>
      </c>
      <c r="S235" s="743">
        <v>3</v>
      </c>
      <c r="AJ235" s="700"/>
      <c r="AK235" s="761"/>
      <c r="AL235" s="702"/>
      <c r="AM235" s="795"/>
      <c r="AN235" s="795"/>
      <c r="AO235" s="795"/>
      <c r="AP235" s="699" t="s">
        <v>87</v>
      </c>
      <c r="AQ235" s="719"/>
    </row>
    <row r="236" spans="1:43" ht="14.25" x14ac:dyDescent="0.2">
      <c r="A236" s="641" t="s">
        <v>924</v>
      </c>
      <c r="B236" s="169">
        <v>11</v>
      </c>
      <c r="C236" s="285" t="str">
        <f t="shared" si="46"/>
        <v>-</v>
      </c>
      <c r="D236" s="739" t="str">
        <f t="shared" si="47"/>
        <v>-</v>
      </c>
      <c r="E236" s="137" t="s">
        <v>90</v>
      </c>
      <c r="F236" s="794" t="s">
        <v>90</v>
      </c>
      <c r="G236" s="137" t="s">
        <v>90</v>
      </c>
      <c r="H236" s="137" t="s">
        <v>90</v>
      </c>
      <c r="I236" s="794" t="s">
        <v>90</v>
      </c>
      <c r="J236" s="137" t="s">
        <v>90</v>
      </c>
      <c r="K236" s="786" t="s">
        <v>709</v>
      </c>
      <c r="L236" s="788">
        <f t="shared" si="48"/>
        <v>0.25</v>
      </c>
      <c r="M236" s="788">
        <f t="shared" si="49"/>
        <v>0.25</v>
      </c>
      <c r="N236" s="788">
        <f t="shared" si="50"/>
        <v>0.25</v>
      </c>
      <c r="P236" s="699" t="s">
        <v>87</v>
      </c>
      <c r="R236" s="785">
        <v>2</v>
      </c>
      <c r="S236" s="743">
        <v>3</v>
      </c>
      <c r="AJ236" s="700"/>
      <c r="AK236" s="761"/>
      <c r="AL236" s="702"/>
      <c r="AM236" s="795"/>
      <c r="AN236" s="795"/>
      <c r="AO236" s="795"/>
      <c r="AP236" s="699" t="s">
        <v>87</v>
      </c>
      <c r="AQ236" s="719"/>
    </row>
    <row r="237" spans="1:43" ht="14.25" x14ac:dyDescent="0.2">
      <c r="A237" s="641" t="s">
        <v>925</v>
      </c>
      <c r="B237" s="169">
        <v>12</v>
      </c>
      <c r="C237" s="285" t="str">
        <f t="shared" si="46"/>
        <v>-</v>
      </c>
      <c r="D237" s="739" t="str">
        <f t="shared" si="47"/>
        <v>-</v>
      </c>
      <c r="E237" s="137" t="s">
        <v>90</v>
      </c>
      <c r="F237" s="794" t="s">
        <v>90</v>
      </c>
      <c r="G237" s="137" t="s">
        <v>90</v>
      </c>
      <c r="H237" s="137" t="s">
        <v>90</v>
      </c>
      <c r="I237" s="794" t="s">
        <v>90</v>
      </c>
      <c r="J237" s="137" t="s">
        <v>90</v>
      </c>
      <c r="K237" s="786" t="s">
        <v>710</v>
      </c>
      <c r="L237" s="788">
        <f t="shared" si="48"/>
        <v>0.25</v>
      </c>
      <c r="M237" s="788">
        <f t="shared" si="49"/>
        <v>0.25</v>
      </c>
      <c r="N237" s="788">
        <f t="shared" si="50"/>
        <v>0.75</v>
      </c>
      <c r="P237" s="699" t="s">
        <v>87</v>
      </c>
      <c r="R237" s="785">
        <v>2</v>
      </c>
      <c r="S237" s="743">
        <v>3</v>
      </c>
      <c r="AJ237" s="700"/>
      <c r="AK237" s="761"/>
      <c r="AL237" s="702"/>
      <c r="AM237" s="795"/>
      <c r="AN237" s="795"/>
      <c r="AO237" s="795"/>
      <c r="AP237" s="699" t="s">
        <v>87</v>
      </c>
      <c r="AQ237" s="719"/>
    </row>
    <row r="238" spans="1:43" ht="14.25" x14ac:dyDescent="0.2">
      <c r="A238" s="641" t="s">
        <v>926</v>
      </c>
      <c r="B238" s="169">
        <v>13</v>
      </c>
      <c r="C238" s="285" t="str">
        <f t="shared" si="46"/>
        <v>-</v>
      </c>
      <c r="D238" s="739" t="str">
        <f t="shared" si="47"/>
        <v>-</v>
      </c>
      <c r="E238" s="137" t="s">
        <v>90</v>
      </c>
      <c r="F238" s="794" t="s">
        <v>90</v>
      </c>
      <c r="G238" s="137" t="s">
        <v>90</v>
      </c>
      <c r="H238" s="137" t="s">
        <v>90</v>
      </c>
      <c r="I238" s="794" t="s">
        <v>90</v>
      </c>
      <c r="J238" s="137" t="s">
        <v>90</v>
      </c>
      <c r="K238" s="786" t="s">
        <v>710</v>
      </c>
      <c r="L238" s="788">
        <f t="shared" si="48"/>
        <v>0.25</v>
      </c>
      <c r="M238" s="788">
        <f t="shared" si="49"/>
        <v>0.25</v>
      </c>
      <c r="N238" s="788">
        <f t="shared" si="50"/>
        <v>0.75</v>
      </c>
      <c r="P238" s="699" t="s">
        <v>87</v>
      </c>
      <c r="R238" s="785">
        <v>2</v>
      </c>
      <c r="S238" s="743">
        <v>3</v>
      </c>
      <c r="AJ238" s="700"/>
      <c r="AK238" s="761"/>
      <c r="AL238" s="702"/>
      <c r="AM238" s="795"/>
      <c r="AN238" s="795"/>
      <c r="AO238" s="795"/>
      <c r="AP238" s="699" t="s">
        <v>87</v>
      </c>
      <c r="AQ238" s="719"/>
    </row>
    <row r="239" spans="1:43" ht="14.25" x14ac:dyDescent="0.2">
      <c r="A239" s="641" t="s">
        <v>927</v>
      </c>
      <c r="B239" s="169">
        <v>14</v>
      </c>
      <c r="C239" s="285" t="str">
        <f t="shared" si="46"/>
        <v>-</v>
      </c>
      <c r="D239" s="739" t="str">
        <f t="shared" si="47"/>
        <v>-</v>
      </c>
      <c r="E239" s="137" t="s">
        <v>90</v>
      </c>
      <c r="F239" s="794" t="s">
        <v>90</v>
      </c>
      <c r="G239" s="137" t="s">
        <v>90</v>
      </c>
      <c r="H239" s="137" t="s">
        <v>90</v>
      </c>
      <c r="I239" s="794" t="s">
        <v>90</v>
      </c>
      <c r="J239" s="137" t="s">
        <v>90</v>
      </c>
      <c r="K239" s="786" t="s">
        <v>710</v>
      </c>
      <c r="L239" s="788">
        <f t="shared" si="48"/>
        <v>0.35</v>
      </c>
      <c r="M239" s="788">
        <f t="shared" si="49"/>
        <v>0.35</v>
      </c>
      <c r="N239" s="788">
        <f t="shared" si="50"/>
        <v>0.75</v>
      </c>
      <c r="P239" s="699" t="s">
        <v>87</v>
      </c>
      <c r="R239" s="785">
        <v>4</v>
      </c>
      <c r="S239" s="743">
        <v>5</v>
      </c>
      <c r="AJ239" s="700"/>
      <c r="AK239" s="761"/>
      <c r="AL239" s="702"/>
      <c r="AM239" s="795"/>
      <c r="AN239" s="795"/>
      <c r="AO239" s="795"/>
      <c r="AP239" s="699" t="s">
        <v>87</v>
      </c>
      <c r="AQ239" s="719"/>
    </row>
    <row r="240" spans="1:43" ht="14.25" x14ac:dyDescent="0.2">
      <c r="A240" s="641" t="s">
        <v>928</v>
      </c>
      <c r="B240" s="169">
        <v>15</v>
      </c>
      <c r="C240" s="285" t="str">
        <f t="shared" si="46"/>
        <v>-</v>
      </c>
      <c r="D240" s="739" t="str">
        <f t="shared" si="47"/>
        <v>-</v>
      </c>
      <c r="E240" s="137" t="s">
        <v>90</v>
      </c>
      <c r="F240" s="794" t="s">
        <v>90</v>
      </c>
      <c r="G240" s="137" t="s">
        <v>90</v>
      </c>
      <c r="H240" s="137" t="s">
        <v>90</v>
      </c>
      <c r="I240" s="794" t="s">
        <v>90</v>
      </c>
      <c r="J240" s="137" t="s">
        <v>90</v>
      </c>
      <c r="K240" s="786" t="s">
        <v>710</v>
      </c>
      <c r="L240" s="788">
        <f t="shared" si="48"/>
        <v>0.35</v>
      </c>
      <c r="M240" s="788">
        <f t="shared" si="49"/>
        <v>0.35</v>
      </c>
      <c r="N240" s="788">
        <f t="shared" si="50"/>
        <v>0.75</v>
      </c>
      <c r="P240" s="699" t="s">
        <v>87</v>
      </c>
      <c r="R240" s="785">
        <v>4</v>
      </c>
      <c r="S240" s="743">
        <v>5</v>
      </c>
      <c r="AJ240" s="700"/>
      <c r="AK240" s="761"/>
      <c r="AL240" s="702"/>
      <c r="AM240" s="795"/>
      <c r="AN240" s="795"/>
      <c r="AO240" s="795"/>
      <c r="AP240" s="699" t="s">
        <v>87</v>
      </c>
      <c r="AQ240" s="719"/>
    </row>
    <row r="241" spans="1:43" ht="14.25" x14ac:dyDescent="0.2">
      <c r="A241" s="641" t="s">
        <v>929</v>
      </c>
      <c r="B241" s="169">
        <v>16</v>
      </c>
      <c r="C241" s="285" t="str">
        <f t="shared" si="46"/>
        <v>-</v>
      </c>
      <c r="D241" s="739" t="str">
        <f t="shared" si="47"/>
        <v>-</v>
      </c>
      <c r="E241" s="137" t="s">
        <v>90</v>
      </c>
      <c r="F241" s="794" t="s">
        <v>90</v>
      </c>
      <c r="G241" s="137" t="s">
        <v>90</v>
      </c>
      <c r="H241" s="137" t="s">
        <v>90</v>
      </c>
      <c r="I241" s="794" t="s">
        <v>90</v>
      </c>
      <c r="J241" s="137" t="s">
        <v>90</v>
      </c>
      <c r="K241" s="786" t="s">
        <v>709</v>
      </c>
      <c r="L241" s="788">
        <f t="shared" si="48"/>
        <v>0.7</v>
      </c>
      <c r="M241" s="788">
        <f t="shared" si="49"/>
        <v>0.5</v>
      </c>
      <c r="N241" s="788">
        <f t="shared" si="50"/>
        <v>0.25</v>
      </c>
      <c r="P241" s="699" t="s">
        <v>87</v>
      </c>
      <c r="R241" s="785">
        <v>8</v>
      </c>
      <c r="S241" s="743">
        <v>8</v>
      </c>
      <c r="AJ241" s="700"/>
      <c r="AK241" s="761"/>
      <c r="AL241" s="702"/>
      <c r="AM241" s="795"/>
      <c r="AN241" s="795"/>
      <c r="AO241" s="795"/>
      <c r="AP241" s="699" t="s">
        <v>87</v>
      </c>
      <c r="AQ241" s="719"/>
    </row>
    <row r="242" spans="1:43" ht="14.25" x14ac:dyDescent="0.2">
      <c r="A242" s="641" t="s">
        <v>930</v>
      </c>
      <c r="B242" s="169">
        <v>17</v>
      </c>
      <c r="C242" s="285" t="str">
        <f t="shared" si="46"/>
        <v>-</v>
      </c>
      <c r="D242" s="739" t="str">
        <f t="shared" si="47"/>
        <v>-</v>
      </c>
      <c r="E242" s="137" t="s">
        <v>90</v>
      </c>
      <c r="F242" s="794" t="s">
        <v>90</v>
      </c>
      <c r="G242" s="137" t="s">
        <v>90</v>
      </c>
      <c r="H242" s="137" t="s">
        <v>90</v>
      </c>
      <c r="I242" s="794" t="s">
        <v>90</v>
      </c>
      <c r="J242" s="137" t="s">
        <v>90</v>
      </c>
      <c r="K242" s="786" t="s">
        <v>709</v>
      </c>
      <c r="L242" s="788">
        <f t="shared" si="48"/>
        <v>0.7</v>
      </c>
      <c r="M242" s="788">
        <f t="shared" si="49"/>
        <v>0.5</v>
      </c>
      <c r="N242" s="788">
        <f t="shared" si="50"/>
        <v>0.25</v>
      </c>
      <c r="P242" s="699" t="s">
        <v>87</v>
      </c>
      <c r="R242" s="785">
        <v>8</v>
      </c>
      <c r="S242" s="743">
        <v>8</v>
      </c>
      <c r="AJ242" s="700"/>
      <c r="AK242" s="761"/>
      <c r="AL242" s="702"/>
      <c r="AM242" s="795"/>
      <c r="AN242" s="795"/>
      <c r="AO242" s="795"/>
      <c r="AP242" s="699" t="s">
        <v>87</v>
      </c>
      <c r="AQ242" s="719"/>
    </row>
    <row r="243" spans="1:43" ht="14.25" x14ac:dyDescent="0.2">
      <c r="A243" s="641" t="s">
        <v>931</v>
      </c>
      <c r="B243" s="169">
        <v>18</v>
      </c>
      <c r="C243" s="285" t="str">
        <f t="shared" si="46"/>
        <v>-</v>
      </c>
      <c r="D243" s="739" t="str">
        <f t="shared" si="47"/>
        <v>-</v>
      </c>
      <c r="E243" s="137" t="s">
        <v>90</v>
      </c>
      <c r="F243" s="794" t="s">
        <v>90</v>
      </c>
      <c r="G243" s="137" t="s">
        <v>90</v>
      </c>
      <c r="H243" s="137" t="s">
        <v>90</v>
      </c>
      <c r="I243" s="794" t="s">
        <v>90</v>
      </c>
      <c r="J243" s="137" t="s">
        <v>90</v>
      </c>
      <c r="K243" s="786" t="s">
        <v>707</v>
      </c>
      <c r="L243" s="788">
        <f t="shared" si="48"/>
        <v>0.7</v>
      </c>
      <c r="M243" s="788">
        <f t="shared" si="49"/>
        <v>0.5</v>
      </c>
      <c r="N243" s="788">
        <f t="shared" si="50"/>
        <v>0.75</v>
      </c>
      <c r="P243" s="699" t="s">
        <v>87</v>
      </c>
      <c r="R243" s="785">
        <v>8</v>
      </c>
      <c r="S243" s="743">
        <v>8</v>
      </c>
      <c r="AJ243" s="700"/>
      <c r="AK243" s="761"/>
      <c r="AL243" s="702"/>
      <c r="AM243" s="795"/>
      <c r="AN243" s="795"/>
      <c r="AO243" s="795"/>
      <c r="AP243" s="699" t="s">
        <v>87</v>
      </c>
      <c r="AQ243" s="719"/>
    </row>
    <row r="244" spans="1:43" ht="14.25" x14ac:dyDescent="0.2">
      <c r="A244" s="641" t="s">
        <v>700</v>
      </c>
      <c r="B244" s="169">
        <v>19</v>
      </c>
      <c r="C244" s="285" t="str">
        <f t="shared" si="46"/>
        <v>-</v>
      </c>
      <c r="D244" s="739" t="str">
        <f t="shared" si="47"/>
        <v>-</v>
      </c>
      <c r="E244" s="137" t="s">
        <v>90</v>
      </c>
      <c r="F244" s="794" t="s">
        <v>90</v>
      </c>
      <c r="G244" s="137" t="s">
        <v>90</v>
      </c>
      <c r="H244" s="137" t="s">
        <v>90</v>
      </c>
      <c r="I244" s="794" t="s">
        <v>90</v>
      </c>
      <c r="J244" s="137" t="s">
        <v>90</v>
      </c>
      <c r="K244" s="786" t="s">
        <v>707</v>
      </c>
      <c r="L244" s="788">
        <f t="shared" si="48"/>
        <v>0.7</v>
      </c>
      <c r="M244" s="788">
        <f t="shared" si="49"/>
        <v>0.5</v>
      </c>
      <c r="N244" s="788">
        <f t="shared" si="50"/>
        <v>0.75</v>
      </c>
      <c r="P244" s="699" t="s">
        <v>87</v>
      </c>
      <c r="R244" s="785">
        <v>8</v>
      </c>
      <c r="S244" s="743">
        <v>8</v>
      </c>
      <c r="AJ244" s="700"/>
      <c r="AK244" s="761"/>
      <c r="AL244" s="702"/>
      <c r="AM244" s="795"/>
      <c r="AN244" s="795"/>
      <c r="AO244" s="795"/>
      <c r="AP244" s="699" t="s">
        <v>87</v>
      </c>
      <c r="AQ244" s="719"/>
    </row>
    <row r="245" spans="1:43" ht="14.25" x14ac:dyDescent="0.2">
      <c r="A245" s="641" t="s">
        <v>932</v>
      </c>
      <c r="B245" s="169">
        <v>20</v>
      </c>
      <c r="C245" s="285" t="str">
        <f t="shared" si="46"/>
        <v>-</v>
      </c>
      <c r="D245" s="739" t="str">
        <f t="shared" si="47"/>
        <v>-</v>
      </c>
      <c r="E245" s="137" t="s">
        <v>90</v>
      </c>
      <c r="F245" s="794" t="s">
        <v>90</v>
      </c>
      <c r="G245" s="137" t="s">
        <v>90</v>
      </c>
      <c r="H245" s="137" t="s">
        <v>90</v>
      </c>
      <c r="I245" s="794" t="s">
        <v>90</v>
      </c>
      <c r="J245" s="137" t="s">
        <v>90</v>
      </c>
      <c r="K245" s="786" t="s">
        <v>709</v>
      </c>
      <c r="L245" s="788">
        <f t="shared" si="48"/>
        <v>0.45</v>
      </c>
      <c r="M245" s="788">
        <f t="shared" si="49"/>
        <v>0.45</v>
      </c>
      <c r="N245" s="788">
        <f t="shared" si="50"/>
        <v>0.25</v>
      </c>
      <c r="P245" s="699" t="s">
        <v>87</v>
      </c>
      <c r="R245" s="785">
        <v>5</v>
      </c>
      <c r="S245" s="743">
        <v>7</v>
      </c>
      <c r="AJ245" s="700"/>
      <c r="AK245" s="761"/>
      <c r="AL245" s="702"/>
      <c r="AM245" s="795"/>
      <c r="AN245" s="795"/>
      <c r="AO245" s="795"/>
      <c r="AP245" s="699" t="s">
        <v>87</v>
      </c>
      <c r="AQ245" s="719"/>
    </row>
    <row r="246" spans="1:43" ht="14.25" x14ac:dyDescent="0.2">
      <c r="A246" s="641" t="s">
        <v>933</v>
      </c>
      <c r="B246" s="169">
        <v>21</v>
      </c>
      <c r="C246" s="285" t="str">
        <f t="shared" si="46"/>
        <v>-</v>
      </c>
      <c r="D246" s="739" t="str">
        <f t="shared" si="47"/>
        <v>-</v>
      </c>
      <c r="E246" s="137" t="s">
        <v>90</v>
      </c>
      <c r="F246" s="794" t="s">
        <v>90</v>
      </c>
      <c r="G246" s="137" t="s">
        <v>90</v>
      </c>
      <c r="H246" s="137" t="s">
        <v>90</v>
      </c>
      <c r="I246" s="794" t="s">
        <v>90</v>
      </c>
      <c r="J246" s="137" t="s">
        <v>90</v>
      </c>
      <c r="K246" s="786" t="s">
        <v>350</v>
      </c>
      <c r="L246" s="788">
        <f t="shared" si="48"/>
        <v>0.15</v>
      </c>
      <c r="M246" s="788">
        <f t="shared" si="49"/>
        <v>0.1</v>
      </c>
      <c r="N246" s="788">
        <f t="shared" si="50"/>
        <v>0.5</v>
      </c>
      <c r="P246" s="699" t="s">
        <v>87</v>
      </c>
      <c r="R246" s="785">
        <v>1</v>
      </c>
      <c r="S246" s="743">
        <v>1</v>
      </c>
      <c r="AJ246" s="700"/>
      <c r="AK246" s="761"/>
      <c r="AL246" s="702"/>
      <c r="AM246" s="795"/>
      <c r="AN246" s="795"/>
      <c r="AO246" s="795"/>
      <c r="AP246" s="699" t="s">
        <v>87</v>
      </c>
      <c r="AQ246" s="719"/>
    </row>
    <row r="247" spans="1:43" ht="14.25" x14ac:dyDescent="0.2">
      <c r="A247" s="641" t="s">
        <v>934</v>
      </c>
      <c r="B247" s="169">
        <v>22</v>
      </c>
      <c r="C247" s="285" t="str">
        <f t="shared" si="46"/>
        <v>-</v>
      </c>
      <c r="D247" s="739" t="str">
        <f t="shared" si="47"/>
        <v>-</v>
      </c>
      <c r="E247" s="137" t="s">
        <v>90</v>
      </c>
      <c r="F247" s="794" t="s">
        <v>90</v>
      </c>
      <c r="G247" s="137" t="s">
        <v>90</v>
      </c>
      <c r="H247" s="137" t="s">
        <v>90</v>
      </c>
      <c r="I247" s="794" t="s">
        <v>90</v>
      </c>
      <c r="J247" s="137" t="s">
        <v>90</v>
      </c>
      <c r="K247" s="786" t="s">
        <v>709</v>
      </c>
      <c r="L247" s="788">
        <f t="shared" si="48"/>
        <v>0.35</v>
      </c>
      <c r="M247" s="788">
        <f t="shared" si="49"/>
        <v>0.35</v>
      </c>
      <c r="N247" s="788">
        <f t="shared" si="50"/>
        <v>0.25</v>
      </c>
      <c r="P247" s="699" t="s">
        <v>87</v>
      </c>
      <c r="R247" s="785">
        <v>4</v>
      </c>
      <c r="S247" s="743">
        <v>5</v>
      </c>
      <c r="AJ247" s="700"/>
      <c r="AK247" s="761"/>
      <c r="AL247" s="702"/>
      <c r="AM247" s="795"/>
      <c r="AN247" s="795"/>
      <c r="AO247" s="795"/>
      <c r="AP247" s="699" t="s">
        <v>87</v>
      </c>
      <c r="AQ247" s="719"/>
    </row>
    <row r="248" spans="1:43" ht="14.25" x14ac:dyDescent="0.2">
      <c r="A248" s="641" t="s">
        <v>935</v>
      </c>
      <c r="B248" s="169">
        <v>23</v>
      </c>
      <c r="C248" s="285" t="str">
        <f t="shared" si="46"/>
        <v>-</v>
      </c>
      <c r="D248" s="739" t="str">
        <f t="shared" si="47"/>
        <v>-</v>
      </c>
      <c r="E248" s="137" t="s">
        <v>90</v>
      </c>
      <c r="F248" s="794" t="s">
        <v>90</v>
      </c>
      <c r="G248" s="137" t="s">
        <v>90</v>
      </c>
      <c r="H248" s="137" t="s">
        <v>90</v>
      </c>
      <c r="I248" s="794" t="s">
        <v>90</v>
      </c>
      <c r="J248" s="137" t="s">
        <v>90</v>
      </c>
      <c r="K248" s="786" t="s">
        <v>709</v>
      </c>
      <c r="L248" s="788">
        <f t="shared" si="48"/>
        <v>0.5</v>
      </c>
      <c r="M248" s="788">
        <f t="shared" si="49"/>
        <v>0.5</v>
      </c>
      <c r="N248" s="788">
        <f t="shared" si="50"/>
        <v>0.25</v>
      </c>
      <c r="P248" s="699" t="s">
        <v>87</v>
      </c>
      <c r="R248" s="785">
        <v>6</v>
      </c>
      <c r="S248" s="743">
        <v>8</v>
      </c>
      <c r="AJ248" s="700"/>
      <c r="AK248" s="761"/>
      <c r="AL248" s="702"/>
      <c r="AM248" s="795"/>
      <c r="AN248" s="795"/>
      <c r="AO248" s="795"/>
      <c r="AP248" s="699" t="s">
        <v>87</v>
      </c>
      <c r="AQ248" s="719"/>
    </row>
    <row r="249" spans="1:43" ht="14.25" x14ac:dyDescent="0.2">
      <c r="A249" s="641" t="s">
        <v>936</v>
      </c>
      <c r="B249" s="169">
        <v>24</v>
      </c>
      <c r="C249" s="285" t="str">
        <f t="shared" si="46"/>
        <v>-</v>
      </c>
      <c r="D249" s="739" t="str">
        <f t="shared" si="47"/>
        <v>-</v>
      </c>
      <c r="E249" s="137" t="s">
        <v>90</v>
      </c>
      <c r="F249" s="794" t="s">
        <v>90</v>
      </c>
      <c r="G249" s="137" t="s">
        <v>90</v>
      </c>
      <c r="H249" s="137" t="s">
        <v>90</v>
      </c>
      <c r="I249" s="794" t="s">
        <v>90</v>
      </c>
      <c r="J249" s="137" t="s">
        <v>90</v>
      </c>
      <c r="K249" s="786" t="s">
        <v>709</v>
      </c>
      <c r="L249" s="788">
        <f t="shared" si="48"/>
        <v>0.5</v>
      </c>
      <c r="M249" s="788">
        <f t="shared" si="49"/>
        <v>0.5</v>
      </c>
      <c r="N249" s="788">
        <f t="shared" si="50"/>
        <v>0.25</v>
      </c>
      <c r="P249" s="699" t="s">
        <v>87</v>
      </c>
      <c r="R249" s="785">
        <v>6</v>
      </c>
      <c r="S249" s="743">
        <v>8</v>
      </c>
      <c r="AJ249" s="700"/>
      <c r="AK249" s="761"/>
      <c r="AL249" s="702"/>
      <c r="AM249" s="795"/>
      <c r="AN249" s="795"/>
      <c r="AO249" s="795"/>
      <c r="AP249" s="699" t="s">
        <v>87</v>
      </c>
      <c r="AQ249" s="719"/>
    </row>
    <row r="250" spans="1:43" ht="14.25" x14ac:dyDescent="0.2">
      <c r="A250" s="641" t="s">
        <v>937</v>
      </c>
      <c r="B250" s="169">
        <v>25</v>
      </c>
      <c r="C250" s="285" t="str">
        <f t="shared" si="46"/>
        <v>-</v>
      </c>
      <c r="D250" s="739" t="str">
        <f t="shared" si="47"/>
        <v>-</v>
      </c>
      <c r="E250" s="137" t="s">
        <v>90</v>
      </c>
      <c r="F250" s="794" t="s">
        <v>90</v>
      </c>
      <c r="G250" s="137" t="s">
        <v>90</v>
      </c>
      <c r="H250" s="137" t="s">
        <v>90</v>
      </c>
      <c r="I250" s="794" t="s">
        <v>90</v>
      </c>
      <c r="J250" s="137" t="s">
        <v>90</v>
      </c>
      <c r="K250" s="786" t="s">
        <v>709</v>
      </c>
      <c r="L250" s="788">
        <f t="shared" si="48"/>
        <v>0.7</v>
      </c>
      <c r="M250" s="788">
        <f t="shared" si="49"/>
        <v>0.5</v>
      </c>
      <c r="N250" s="788">
        <f t="shared" si="50"/>
        <v>0.25</v>
      </c>
      <c r="P250" s="699" t="s">
        <v>87</v>
      </c>
      <c r="R250" s="785">
        <v>8</v>
      </c>
      <c r="S250" s="743">
        <v>8</v>
      </c>
      <c r="AJ250" s="700"/>
      <c r="AK250" s="761"/>
      <c r="AL250" s="702"/>
      <c r="AM250" s="795"/>
      <c r="AN250" s="795"/>
      <c r="AO250" s="795"/>
      <c r="AP250" s="699" t="s">
        <v>87</v>
      </c>
      <c r="AQ250" s="719"/>
    </row>
    <row r="251" spans="1:43" ht="14.25" x14ac:dyDescent="0.2">
      <c r="A251" s="641" t="s">
        <v>938</v>
      </c>
      <c r="B251" s="169">
        <v>26</v>
      </c>
      <c r="C251" s="285" t="str">
        <f t="shared" si="46"/>
        <v>-</v>
      </c>
      <c r="D251" s="739" t="str">
        <f t="shared" si="47"/>
        <v>-</v>
      </c>
      <c r="E251" s="137" t="s">
        <v>90</v>
      </c>
      <c r="F251" s="794" t="s">
        <v>90</v>
      </c>
      <c r="G251" s="137" t="s">
        <v>90</v>
      </c>
      <c r="H251" s="137" t="s">
        <v>90</v>
      </c>
      <c r="I251" s="794" t="s">
        <v>90</v>
      </c>
      <c r="J251" s="137" t="s">
        <v>90</v>
      </c>
      <c r="K251" s="786" t="s">
        <v>709</v>
      </c>
      <c r="L251" s="788">
        <f t="shared" si="48"/>
        <v>0.7</v>
      </c>
      <c r="M251" s="788">
        <f t="shared" si="49"/>
        <v>0.5</v>
      </c>
      <c r="N251" s="788">
        <f t="shared" si="50"/>
        <v>0.25</v>
      </c>
      <c r="P251" s="699" t="s">
        <v>87</v>
      </c>
      <c r="R251" s="785">
        <v>8</v>
      </c>
      <c r="S251" s="743">
        <v>8</v>
      </c>
      <c r="AJ251" s="700"/>
      <c r="AK251" s="761"/>
      <c r="AL251" s="702"/>
      <c r="AM251" s="795"/>
      <c r="AN251" s="795"/>
      <c r="AO251" s="795"/>
      <c r="AP251" s="699" t="s">
        <v>87</v>
      </c>
      <c r="AQ251" s="719"/>
    </row>
    <row r="252" spans="1:43" ht="14.25" x14ac:dyDescent="0.2">
      <c r="A252" s="97" t="s">
        <v>903</v>
      </c>
      <c r="B252" s="162">
        <v>27</v>
      </c>
      <c r="C252" s="153" t="str">
        <f t="shared" si="46"/>
        <v>-</v>
      </c>
      <c r="D252" s="756" t="str">
        <f t="shared" si="47"/>
        <v>-</v>
      </c>
      <c r="E252" s="139" t="s">
        <v>90</v>
      </c>
      <c r="F252" s="796" t="s">
        <v>90</v>
      </c>
      <c r="G252" s="139" t="s">
        <v>90</v>
      </c>
      <c r="H252" s="139" t="s">
        <v>90</v>
      </c>
      <c r="I252" s="796" t="s">
        <v>90</v>
      </c>
      <c r="J252" s="139" t="s">
        <v>90</v>
      </c>
      <c r="K252" s="789" t="s">
        <v>350</v>
      </c>
      <c r="L252" s="791">
        <f t="shared" si="48"/>
        <v>0.15</v>
      </c>
      <c r="M252" s="791">
        <f t="shared" si="49"/>
        <v>0.1</v>
      </c>
      <c r="N252" s="791">
        <f t="shared" si="50"/>
        <v>0.5</v>
      </c>
      <c r="P252" s="699" t="s">
        <v>87</v>
      </c>
      <c r="R252" s="792">
        <v>1</v>
      </c>
      <c r="S252" s="762">
        <v>1</v>
      </c>
      <c r="AJ252" s="700"/>
      <c r="AK252" s="761"/>
      <c r="AL252" s="702"/>
      <c r="AM252" s="795"/>
      <c r="AN252" s="795"/>
      <c r="AO252" s="795"/>
      <c r="AP252" s="699" t="s">
        <v>87</v>
      </c>
      <c r="AQ252" s="719"/>
    </row>
    <row r="253" spans="1:43" ht="14.25" x14ac:dyDescent="0.2">
      <c r="P253" s="699" t="s">
        <v>87</v>
      </c>
      <c r="AJ253" s="700"/>
      <c r="AK253" s="761"/>
      <c r="AL253" s="702"/>
      <c r="AM253" s="795"/>
      <c r="AN253" s="795"/>
      <c r="AO253" s="795"/>
      <c r="AP253" s="699" t="s">
        <v>87</v>
      </c>
      <c r="AQ253" s="719"/>
    </row>
    <row r="254" spans="1:43" ht="14.25" x14ac:dyDescent="0.2">
      <c r="A254" s="793" t="str">
        <f>$A$17</f>
        <v>Detailed information for</v>
      </c>
      <c r="B254" s="764"/>
      <c r="C254" s="765" t="s">
        <v>731</v>
      </c>
      <c r="D254" s="766" t="s">
        <v>732</v>
      </c>
      <c r="E254" s="767"/>
      <c r="F254" s="767"/>
      <c r="G254" s="768"/>
      <c r="H254" s="769" t="s">
        <v>733</v>
      </c>
      <c r="I254" s="770"/>
      <c r="J254" s="770"/>
      <c r="K254" s="771" t="s">
        <v>33</v>
      </c>
      <c r="L254" s="772" t="s">
        <v>734</v>
      </c>
      <c r="M254" s="770"/>
      <c r="N254" s="770"/>
      <c r="P254" s="699" t="s">
        <v>87</v>
      </c>
      <c r="R254" s="773" t="s">
        <v>735</v>
      </c>
      <c r="S254" s="770"/>
      <c r="AP254" s="699" t="s">
        <v>87</v>
      </c>
    </row>
    <row r="255" spans="1:43" ht="15" x14ac:dyDescent="0.25">
      <c r="A255" s="774" t="s">
        <v>725</v>
      </c>
      <c r="B255" s="775"/>
      <c r="C255" s="776" t="s">
        <v>736</v>
      </c>
      <c r="D255" s="777" t="s">
        <v>173</v>
      </c>
      <c r="E255" s="777" t="s">
        <v>737</v>
      </c>
      <c r="F255" s="777" t="s">
        <v>738</v>
      </c>
      <c r="G255" s="777" t="s">
        <v>739</v>
      </c>
      <c r="H255" s="777" t="s">
        <v>737</v>
      </c>
      <c r="I255" s="777" t="s">
        <v>738</v>
      </c>
      <c r="J255" s="777" t="s">
        <v>740</v>
      </c>
      <c r="K255" s="778" t="s">
        <v>8</v>
      </c>
      <c r="L255" s="779" t="s">
        <v>741</v>
      </c>
      <c r="M255" s="779" t="s">
        <v>742</v>
      </c>
      <c r="N255" s="780" t="s">
        <v>743</v>
      </c>
      <c r="P255" s="699" t="s">
        <v>87</v>
      </c>
      <c r="R255" s="777" t="s">
        <v>744</v>
      </c>
      <c r="S255" s="777" t="s">
        <v>745</v>
      </c>
      <c r="AP255" s="699" t="s">
        <v>87</v>
      </c>
    </row>
    <row r="256" spans="1:43" ht="14.25" x14ac:dyDescent="0.2">
      <c r="A256" s="662"/>
      <c r="B256" s="104">
        <v>165</v>
      </c>
      <c r="C256" s="167" t="s">
        <v>746</v>
      </c>
      <c r="D256" s="167" t="s">
        <v>747</v>
      </c>
      <c r="E256" s="167">
        <v>3</v>
      </c>
      <c r="F256" s="167">
        <v>4</v>
      </c>
      <c r="G256" s="167">
        <v>5</v>
      </c>
      <c r="H256" s="167">
        <v>6</v>
      </c>
      <c r="I256" s="167">
        <v>7</v>
      </c>
      <c r="J256" s="167">
        <v>8</v>
      </c>
      <c r="K256" s="167"/>
      <c r="L256" s="167"/>
      <c r="M256" s="167"/>
      <c r="N256" s="214"/>
      <c r="P256" s="699" t="s">
        <v>87</v>
      </c>
      <c r="R256" s="781"/>
      <c r="S256" s="106"/>
      <c r="AP256" s="699" t="s">
        <v>87</v>
      </c>
    </row>
    <row r="257" spans="1:42" x14ac:dyDescent="0.2">
      <c r="A257" s="641" t="s">
        <v>195</v>
      </c>
      <c r="B257" s="169">
        <v>1</v>
      </c>
      <c r="C257" s="285" t="str">
        <f t="shared" ref="C257:C278" si="51">IF(OR(D257&lt;&gt;"-",I257&lt;&gt;"-"),SQRT(PRODUCT(L257,SUM(D257))^2+PRODUCT(M257,SUM(I257))^2+2*PRODUCT(N257,L257,SUM(D257),M257,SUM(I257))),"-")</f>
        <v>-</v>
      </c>
      <c r="D257" s="739" t="str">
        <f t="shared" ref="D257:D278" si="52">IF(OR(F257&lt;&gt;"-",G257&lt;&gt;"-"),MAX(SUM(F257),SUM(G257)),"-")</f>
        <v>-</v>
      </c>
      <c r="E257" s="149" t="s">
        <v>90</v>
      </c>
      <c r="F257" s="797" t="s">
        <v>90</v>
      </c>
      <c r="G257" s="149" t="s">
        <v>90</v>
      </c>
      <c r="H257" s="137" t="s">
        <v>90</v>
      </c>
      <c r="I257" s="794" t="s">
        <v>90</v>
      </c>
      <c r="J257" s="137" t="s">
        <v>90</v>
      </c>
      <c r="K257" s="786" t="s">
        <v>709</v>
      </c>
      <c r="L257" s="788">
        <f t="shared" ref="L257:L278" si="53">IFERROR(INDEX(ICS.NL.Buckets.P,R257),"-")</f>
        <v>0.3</v>
      </c>
      <c r="M257" s="788">
        <f t="shared" ref="M257:M278" si="54">IFERROR(INDEX(ICS.NL.Buckets.R,S257),"-")</f>
        <v>0.2</v>
      </c>
      <c r="N257" s="788">
        <f t="shared" ref="N257:N278" si="55">IFERROR(INDEX(ICS.NL.Corr.P_R,MATCH(K257,ICS.NL.CategMapping,0)),1)</f>
        <v>0.25</v>
      </c>
      <c r="P257" s="699" t="s">
        <v>87</v>
      </c>
      <c r="R257" s="785">
        <v>3</v>
      </c>
      <c r="S257" s="743">
        <v>2</v>
      </c>
      <c r="AP257" s="699" t="s">
        <v>87</v>
      </c>
    </row>
    <row r="258" spans="1:42" x14ac:dyDescent="0.2">
      <c r="A258" s="641" t="s">
        <v>939</v>
      </c>
      <c r="B258" s="169">
        <v>2</v>
      </c>
      <c r="C258" s="285" t="str">
        <f t="shared" si="51"/>
        <v>-</v>
      </c>
      <c r="D258" s="739" t="str">
        <f t="shared" si="52"/>
        <v>-</v>
      </c>
      <c r="E258" s="137" t="s">
        <v>90</v>
      </c>
      <c r="F258" s="794" t="s">
        <v>90</v>
      </c>
      <c r="G258" s="137" t="s">
        <v>90</v>
      </c>
      <c r="H258" s="137" t="s">
        <v>90</v>
      </c>
      <c r="I258" s="794" t="s">
        <v>90</v>
      </c>
      <c r="J258" s="137" t="s">
        <v>90</v>
      </c>
      <c r="K258" s="786" t="s">
        <v>709</v>
      </c>
      <c r="L258" s="788">
        <f t="shared" si="53"/>
        <v>0.3</v>
      </c>
      <c r="M258" s="788">
        <f t="shared" si="54"/>
        <v>0.25</v>
      </c>
      <c r="N258" s="788">
        <f t="shared" si="55"/>
        <v>0.25</v>
      </c>
      <c r="P258" s="699" t="s">
        <v>87</v>
      </c>
      <c r="R258" s="785">
        <v>3</v>
      </c>
      <c r="S258" s="743">
        <v>3</v>
      </c>
      <c r="AP258" s="699" t="s">
        <v>87</v>
      </c>
    </row>
    <row r="259" spans="1:42" x14ac:dyDescent="0.2">
      <c r="A259" s="641" t="s">
        <v>940</v>
      </c>
      <c r="B259" s="169">
        <v>3</v>
      </c>
      <c r="C259" s="285" t="str">
        <f t="shared" si="51"/>
        <v>-</v>
      </c>
      <c r="D259" s="739" t="str">
        <f t="shared" si="52"/>
        <v>-</v>
      </c>
      <c r="E259" s="137" t="s">
        <v>90</v>
      </c>
      <c r="F259" s="794" t="s">
        <v>90</v>
      </c>
      <c r="G259" s="137" t="s">
        <v>90</v>
      </c>
      <c r="H259" s="137" t="s">
        <v>90</v>
      </c>
      <c r="I259" s="794" t="s">
        <v>90</v>
      </c>
      <c r="J259" s="137" t="s">
        <v>90</v>
      </c>
      <c r="K259" s="786" t="s">
        <v>350</v>
      </c>
      <c r="L259" s="788">
        <f t="shared" si="53"/>
        <v>0.3</v>
      </c>
      <c r="M259" s="788">
        <f t="shared" si="54"/>
        <v>0.25</v>
      </c>
      <c r="N259" s="788">
        <f t="shared" si="55"/>
        <v>0.5</v>
      </c>
      <c r="P259" s="699" t="s">
        <v>87</v>
      </c>
      <c r="R259" s="785">
        <v>3</v>
      </c>
      <c r="S259" s="743">
        <v>3</v>
      </c>
      <c r="AP259" s="699" t="s">
        <v>87</v>
      </c>
    </row>
    <row r="260" spans="1:42" x14ac:dyDescent="0.2">
      <c r="A260" s="641" t="s">
        <v>941</v>
      </c>
      <c r="B260" s="169">
        <v>4</v>
      </c>
      <c r="C260" s="285" t="str">
        <f t="shared" si="51"/>
        <v>-</v>
      </c>
      <c r="D260" s="739" t="str">
        <f t="shared" si="52"/>
        <v>-</v>
      </c>
      <c r="E260" s="137" t="s">
        <v>90</v>
      </c>
      <c r="F260" s="794" t="s">
        <v>90</v>
      </c>
      <c r="G260" s="137" t="s">
        <v>90</v>
      </c>
      <c r="H260" s="137" t="s">
        <v>90</v>
      </c>
      <c r="I260" s="794" t="s">
        <v>90</v>
      </c>
      <c r="J260" s="137" t="s">
        <v>90</v>
      </c>
      <c r="K260" s="786" t="s">
        <v>350</v>
      </c>
      <c r="L260" s="788">
        <f t="shared" si="53"/>
        <v>0.3</v>
      </c>
      <c r="M260" s="788">
        <f t="shared" si="54"/>
        <v>0.25</v>
      </c>
      <c r="N260" s="788">
        <f t="shared" si="55"/>
        <v>0.5</v>
      </c>
      <c r="P260" s="699" t="s">
        <v>87</v>
      </c>
      <c r="R260" s="785">
        <v>3</v>
      </c>
      <c r="S260" s="743">
        <v>3</v>
      </c>
      <c r="AP260" s="699" t="s">
        <v>87</v>
      </c>
    </row>
    <row r="261" spans="1:42" x14ac:dyDescent="0.2">
      <c r="A261" s="641" t="s">
        <v>942</v>
      </c>
      <c r="B261" s="169">
        <v>5</v>
      </c>
      <c r="C261" s="285" t="str">
        <f t="shared" si="51"/>
        <v>-</v>
      </c>
      <c r="D261" s="739" t="str">
        <f t="shared" si="52"/>
        <v>-</v>
      </c>
      <c r="E261" s="137" t="s">
        <v>90</v>
      </c>
      <c r="F261" s="794" t="s">
        <v>90</v>
      </c>
      <c r="G261" s="137" t="s">
        <v>90</v>
      </c>
      <c r="H261" s="137" t="s">
        <v>90</v>
      </c>
      <c r="I261" s="794" t="s">
        <v>90</v>
      </c>
      <c r="J261" s="137" t="s">
        <v>90</v>
      </c>
      <c r="K261" s="786" t="s">
        <v>709</v>
      </c>
      <c r="L261" s="788">
        <f t="shared" si="53"/>
        <v>0.3</v>
      </c>
      <c r="M261" s="788">
        <f t="shared" si="54"/>
        <v>0.3</v>
      </c>
      <c r="N261" s="788">
        <f t="shared" si="55"/>
        <v>0.25</v>
      </c>
      <c r="P261" s="699" t="s">
        <v>87</v>
      </c>
      <c r="R261" s="785">
        <v>3</v>
      </c>
      <c r="S261" s="743">
        <v>4</v>
      </c>
      <c r="AP261" s="699" t="s">
        <v>87</v>
      </c>
    </row>
    <row r="262" spans="1:42" x14ac:dyDescent="0.2">
      <c r="A262" s="641" t="s">
        <v>943</v>
      </c>
      <c r="B262" s="169">
        <v>6</v>
      </c>
      <c r="C262" s="285" t="str">
        <f t="shared" si="51"/>
        <v>-</v>
      </c>
      <c r="D262" s="739" t="str">
        <f t="shared" si="52"/>
        <v>-</v>
      </c>
      <c r="E262" s="137" t="s">
        <v>90</v>
      </c>
      <c r="F262" s="794" t="s">
        <v>90</v>
      </c>
      <c r="G262" s="137" t="s">
        <v>90</v>
      </c>
      <c r="H262" s="137" t="s">
        <v>90</v>
      </c>
      <c r="I262" s="794" t="s">
        <v>90</v>
      </c>
      <c r="J262" s="137" t="s">
        <v>90</v>
      </c>
      <c r="K262" s="786" t="s">
        <v>350</v>
      </c>
      <c r="L262" s="788">
        <f t="shared" si="53"/>
        <v>0.3</v>
      </c>
      <c r="M262" s="788">
        <f t="shared" si="54"/>
        <v>0.3</v>
      </c>
      <c r="N262" s="788">
        <f t="shared" si="55"/>
        <v>0.5</v>
      </c>
      <c r="P262" s="699" t="s">
        <v>87</v>
      </c>
      <c r="R262" s="785">
        <v>3</v>
      </c>
      <c r="S262" s="743">
        <v>4</v>
      </c>
      <c r="AP262" s="699" t="s">
        <v>87</v>
      </c>
    </row>
    <row r="263" spans="1:42" x14ac:dyDescent="0.2">
      <c r="A263" s="641" t="s">
        <v>944</v>
      </c>
      <c r="B263" s="169">
        <v>7</v>
      </c>
      <c r="C263" s="285" t="str">
        <f t="shared" si="51"/>
        <v>-</v>
      </c>
      <c r="D263" s="739" t="str">
        <f t="shared" si="52"/>
        <v>-</v>
      </c>
      <c r="E263" s="137" t="s">
        <v>90</v>
      </c>
      <c r="F263" s="794" t="s">
        <v>90</v>
      </c>
      <c r="G263" s="137" t="s">
        <v>90</v>
      </c>
      <c r="H263" s="137" t="s">
        <v>90</v>
      </c>
      <c r="I263" s="794" t="s">
        <v>90</v>
      </c>
      <c r="J263" s="137" t="s">
        <v>90</v>
      </c>
      <c r="K263" s="786" t="s">
        <v>710</v>
      </c>
      <c r="L263" s="788">
        <f t="shared" si="53"/>
        <v>0.35</v>
      </c>
      <c r="M263" s="788">
        <f t="shared" si="54"/>
        <v>0.3</v>
      </c>
      <c r="N263" s="788">
        <f t="shared" si="55"/>
        <v>0.75</v>
      </c>
      <c r="P263" s="699" t="s">
        <v>87</v>
      </c>
      <c r="R263" s="785">
        <v>4</v>
      </c>
      <c r="S263" s="743">
        <v>4</v>
      </c>
      <c r="AP263" s="699" t="s">
        <v>87</v>
      </c>
    </row>
    <row r="264" spans="1:42" x14ac:dyDescent="0.2">
      <c r="A264" s="641" t="s">
        <v>911</v>
      </c>
      <c r="B264" s="169">
        <v>8</v>
      </c>
      <c r="C264" s="285" t="str">
        <f t="shared" si="51"/>
        <v>-</v>
      </c>
      <c r="D264" s="739" t="str">
        <f t="shared" si="52"/>
        <v>-</v>
      </c>
      <c r="E264" s="137" t="s">
        <v>90</v>
      </c>
      <c r="F264" s="794" t="s">
        <v>90</v>
      </c>
      <c r="G264" s="137" t="s">
        <v>90</v>
      </c>
      <c r="H264" s="137" t="s">
        <v>90</v>
      </c>
      <c r="I264" s="794" t="s">
        <v>90</v>
      </c>
      <c r="J264" s="137" t="s">
        <v>90</v>
      </c>
      <c r="K264" s="786" t="s">
        <v>710</v>
      </c>
      <c r="L264" s="788">
        <f t="shared" si="53"/>
        <v>0.35</v>
      </c>
      <c r="M264" s="788">
        <f t="shared" si="54"/>
        <v>0.3</v>
      </c>
      <c r="N264" s="788">
        <f t="shared" si="55"/>
        <v>0.75</v>
      </c>
      <c r="P264" s="699" t="s">
        <v>87</v>
      </c>
      <c r="R264" s="785">
        <v>4</v>
      </c>
      <c r="S264" s="743">
        <v>4</v>
      </c>
      <c r="AP264" s="699" t="s">
        <v>87</v>
      </c>
    </row>
    <row r="265" spans="1:42" x14ac:dyDescent="0.2">
      <c r="A265" s="641" t="s">
        <v>945</v>
      </c>
      <c r="B265" s="169">
        <v>9</v>
      </c>
      <c r="C265" s="285" t="str">
        <f t="shared" si="51"/>
        <v>-</v>
      </c>
      <c r="D265" s="739" t="str">
        <f t="shared" si="52"/>
        <v>-</v>
      </c>
      <c r="E265" s="137" t="s">
        <v>90</v>
      </c>
      <c r="F265" s="794" t="s">
        <v>90</v>
      </c>
      <c r="G265" s="137" t="s">
        <v>90</v>
      </c>
      <c r="H265" s="137" t="s">
        <v>90</v>
      </c>
      <c r="I265" s="794" t="s">
        <v>90</v>
      </c>
      <c r="J265" s="137" t="s">
        <v>90</v>
      </c>
      <c r="K265" s="786" t="s">
        <v>710</v>
      </c>
      <c r="L265" s="788">
        <f t="shared" si="53"/>
        <v>0.35</v>
      </c>
      <c r="M265" s="788">
        <f t="shared" si="54"/>
        <v>0.4</v>
      </c>
      <c r="N265" s="788">
        <f t="shared" si="55"/>
        <v>0.75</v>
      </c>
      <c r="P265" s="699" t="s">
        <v>87</v>
      </c>
      <c r="R265" s="785">
        <v>4</v>
      </c>
      <c r="S265" s="743">
        <v>6</v>
      </c>
      <c r="AP265" s="699" t="s">
        <v>87</v>
      </c>
    </row>
    <row r="266" spans="1:42" x14ac:dyDescent="0.2">
      <c r="A266" s="641" t="s">
        <v>910</v>
      </c>
      <c r="B266" s="169">
        <v>10</v>
      </c>
      <c r="C266" s="285" t="str">
        <f t="shared" si="51"/>
        <v>-</v>
      </c>
      <c r="D266" s="739" t="str">
        <f t="shared" si="52"/>
        <v>-</v>
      </c>
      <c r="E266" s="137" t="s">
        <v>90</v>
      </c>
      <c r="F266" s="794" t="s">
        <v>90</v>
      </c>
      <c r="G266" s="137" t="s">
        <v>90</v>
      </c>
      <c r="H266" s="137" t="s">
        <v>90</v>
      </c>
      <c r="I266" s="794" t="s">
        <v>90</v>
      </c>
      <c r="J266" s="137" t="s">
        <v>90</v>
      </c>
      <c r="K266" s="786" t="s">
        <v>710</v>
      </c>
      <c r="L266" s="788">
        <f t="shared" si="53"/>
        <v>0.35</v>
      </c>
      <c r="M266" s="788">
        <f t="shared" si="54"/>
        <v>0.3</v>
      </c>
      <c r="N266" s="788">
        <f t="shared" si="55"/>
        <v>0.75</v>
      </c>
      <c r="P266" s="699" t="s">
        <v>87</v>
      </c>
      <c r="R266" s="785">
        <v>4</v>
      </c>
      <c r="S266" s="743">
        <v>4</v>
      </c>
      <c r="AP266" s="699" t="s">
        <v>87</v>
      </c>
    </row>
    <row r="267" spans="1:42" x14ac:dyDescent="0.2">
      <c r="A267" s="641" t="s">
        <v>281</v>
      </c>
      <c r="B267" s="169">
        <v>11</v>
      </c>
      <c r="C267" s="285" t="str">
        <f t="shared" si="51"/>
        <v>-</v>
      </c>
      <c r="D267" s="739" t="str">
        <f t="shared" si="52"/>
        <v>-</v>
      </c>
      <c r="E267" s="137" t="s">
        <v>90</v>
      </c>
      <c r="F267" s="794" t="s">
        <v>90</v>
      </c>
      <c r="G267" s="137" t="s">
        <v>90</v>
      </c>
      <c r="H267" s="137" t="s">
        <v>90</v>
      </c>
      <c r="I267" s="794" t="s">
        <v>90</v>
      </c>
      <c r="J267" s="137" t="s">
        <v>90</v>
      </c>
      <c r="K267" s="786" t="s">
        <v>710</v>
      </c>
      <c r="L267" s="788">
        <f t="shared" si="53"/>
        <v>0.35</v>
      </c>
      <c r="M267" s="788">
        <f t="shared" si="54"/>
        <v>0.3</v>
      </c>
      <c r="N267" s="788">
        <f t="shared" si="55"/>
        <v>0.75</v>
      </c>
      <c r="P267" s="699" t="s">
        <v>87</v>
      </c>
      <c r="R267" s="785">
        <v>4</v>
      </c>
      <c r="S267" s="743">
        <v>4</v>
      </c>
      <c r="AP267" s="699" t="s">
        <v>87</v>
      </c>
    </row>
    <row r="268" spans="1:42" x14ac:dyDescent="0.2">
      <c r="A268" s="641" t="s">
        <v>946</v>
      </c>
      <c r="B268" s="169">
        <v>12</v>
      </c>
      <c r="C268" s="285" t="str">
        <f t="shared" si="51"/>
        <v>-</v>
      </c>
      <c r="D268" s="739" t="str">
        <f t="shared" si="52"/>
        <v>-</v>
      </c>
      <c r="E268" s="137" t="s">
        <v>90</v>
      </c>
      <c r="F268" s="794" t="s">
        <v>90</v>
      </c>
      <c r="G268" s="137" t="s">
        <v>90</v>
      </c>
      <c r="H268" s="137" t="s">
        <v>90</v>
      </c>
      <c r="I268" s="794" t="s">
        <v>90</v>
      </c>
      <c r="J268" s="137" t="s">
        <v>90</v>
      </c>
      <c r="K268" s="786" t="s">
        <v>350</v>
      </c>
      <c r="L268" s="788">
        <f t="shared" si="53"/>
        <v>0.35</v>
      </c>
      <c r="M268" s="788">
        <f t="shared" si="54"/>
        <v>0.3</v>
      </c>
      <c r="N268" s="788">
        <f t="shared" si="55"/>
        <v>0.5</v>
      </c>
      <c r="P268" s="699" t="s">
        <v>87</v>
      </c>
      <c r="R268" s="785">
        <v>4</v>
      </c>
      <c r="S268" s="743">
        <v>4</v>
      </c>
      <c r="AP268" s="699" t="s">
        <v>87</v>
      </c>
    </row>
    <row r="269" spans="1:42" x14ac:dyDescent="0.2">
      <c r="A269" s="641" t="s">
        <v>947</v>
      </c>
      <c r="B269" s="169">
        <v>13</v>
      </c>
      <c r="C269" s="285" t="str">
        <f t="shared" si="51"/>
        <v>-</v>
      </c>
      <c r="D269" s="739" t="str">
        <f t="shared" si="52"/>
        <v>-</v>
      </c>
      <c r="E269" s="137" t="s">
        <v>90</v>
      </c>
      <c r="F269" s="794" t="s">
        <v>90</v>
      </c>
      <c r="G269" s="137" t="s">
        <v>90</v>
      </c>
      <c r="H269" s="137" t="s">
        <v>90</v>
      </c>
      <c r="I269" s="794" t="s">
        <v>90</v>
      </c>
      <c r="J269" s="137" t="s">
        <v>90</v>
      </c>
      <c r="K269" s="786" t="s">
        <v>709</v>
      </c>
      <c r="L269" s="788">
        <f t="shared" si="53"/>
        <v>0.45</v>
      </c>
      <c r="M269" s="788">
        <f t="shared" si="54"/>
        <v>0.4</v>
      </c>
      <c r="N269" s="788">
        <f t="shared" si="55"/>
        <v>0.25</v>
      </c>
      <c r="P269" s="699" t="s">
        <v>87</v>
      </c>
      <c r="R269" s="785">
        <v>5</v>
      </c>
      <c r="S269" s="743">
        <v>6</v>
      </c>
      <c r="AP269" s="699" t="s">
        <v>87</v>
      </c>
    </row>
    <row r="270" spans="1:42" x14ac:dyDescent="0.2">
      <c r="A270" s="641" t="s">
        <v>948</v>
      </c>
      <c r="B270" s="169">
        <v>14</v>
      </c>
      <c r="C270" s="285" t="str">
        <f t="shared" si="51"/>
        <v>-</v>
      </c>
      <c r="D270" s="739" t="str">
        <f t="shared" si="52"/>
        <v>-</v>
      </c>
      <c r="E270" s="137" t="s">
        <v>90</v>
      </c>
      <c r="F270" s="794" t="s">
        <v>90</v>
      </c>
      <c r="G270" s="137" t="s">
        <v>90</v>
      </c>
      <c r="H270" s="137" t="s">
        <v>90</v>
      </c>
      <c r="I270" s="794" t="s">
        <v>90</v>
      </c>
      <c r="J270" s="137" t="s">
        <v>90</v>
      </c>
      <c r="K270" s="786" t="s">
        <v>709</v>
      </c>
      <c r="L270" s="788">
        <f t="shared" si="53"/>
        <v>0.45</v>
      </c>
      <c r="M270" s="788">
        <f t="shared" si="54"/>
        <v>0.4</v>
      </c>
      <c r="N270" s="788">
        <f t="shared" si="55"/>
        <v>0.25</v>
      </c>
      <c r="P270" s="699" t="s">
        <v>87</v>
      </c>
      <c r="R270" s="785">
        <v>5</v>
      </c>
      <c r="S270" s="743">
        <v>6</v>
      </c>
      <c r="AP270" s="699" t="s">
        <v>87</v>
      </c>
    </row>
    <row r="271" spans="1:42" x14ac:dyDescent="0.2">
      <c r="A271" s="641" t="s">
        <v>284</v>
      </c>
      <c r="B271" s="169">
        <v>15</v>
      </c>
      <c r="C271" s="285" t="str">
        <f t="shared" si="51"/>
        <v>-</v>
      </c>
      <c r="D271" s="739" t="str">
        <f t="shared" si="52"/>
        <v>-</v>
      </c>
      <c r="E271" s="137" t="s">
        <v>90</v>
      </c>
      <c r="F271" s="794" t="s">
        <v>90</v>
      </c>
      <c r="G271" s="137" t="s">
        <v>90</v>
      </c>
      <c r="H271" s="137" t="s">
        <v>90</v>
      </c>
      <c r="I271" s="794" t="s">
        <v>90</v>
      </c>
      <c r="J271" s="137" t="s">
        <v>90</v>
      </c>
      <c r="K271" s="786" t="s">
        <v>709</v>
      </c>
      <c r="L271" s="788">
        <f t="shared" si="53"/>
        <v>0.45</v>
      </c>
      <c r="M271" s="788">
        <f t="shared" si="54"/>
        <v>0.4</v>
      </c>
      <c r="N271" s="788">
        <f t="shared" si="55"/>
        <v>0.25</v>
      </c>
      <c r="P271" s="699" t="s">
        <v>87</v>
      </c>
      <c r="R271" s="785">
        <v>5</v>
      </c>
      <c r="S271" s="743">
        <v>6</v>
      </c>
      <c r="AP271" s="699" t="s">
        <v>87</v>
      </c>
    </row>
    <row r="272" spans="1:42" x14ac:dyDescent="0.2">
      <c r="A272" s="641" t="s">
        <v>949</v>
      </c>
      <c r="B272" s="169">
        <v>16</v>
      </c>
      <c r="C272" s="285" t="str">
        <f t="shared" si="51"/>
        <v>-</v>
      </c>
      <c r="D272" s="739" t="str">
        <f t="shared" si="52"/>
        <v>-</v>
      </c>
      <c r="E272" s="137" t="s">
        <v>90</v>
      </c>
      <c r="F272" s="794" t="s">
        <v>90</v>
      </c>
      <c r="G272" s="137" t="s">
        <v>90</v>
      </c>
      <c r="H272" s="137" t="s">
        <v>90</v>
      </c>
      <c r="I272" s="794" t="s">
        <v>90</v>
      </c>
      <c r="J272" s="137" t="s">
        <v>90</v>
      </c>
      <c r="K272" s="786" t="s">
        <v>710</v>
      </c>
      <c r="L272" s="788">
        <f t="shared" si="53"/>
        <v>0.45</v>
      </c>
      <c r="M272" s="788">
        <f t="shared" si="54"/>
        <v>0.4</v>
      </c>
      <c r="N272" s="788">
        <f t="shared" si="55"/>
        <v>0.75</v>
      </c>
      <c r="P272" s="699" t="s">
        <v>87</v>
      </c>
      <c r="R272" s="785">
        <v>5</v>
      </c>
      <c r="S272" s="743">
        <v>6</v>
      </c>
      <c r="AP272" s="699" t="s">
        <v>87</v>
      </c>
    </row>
    <row r="273" spans="1:42" x14ac:dyDescent="0.2">
      <c r="A273" s="641" t="s">
        <v>950</v>
      </c>
      <c r="B273" s="169">
        <v>17</v>
      </c>
      <c r="C273" s="285" t="str">
        <f t="shared" si="51"/>
        <v>-</v>
      </c>
      <c r="D273" s="739" t="str">
        <f t="shared" si="52"/>
        <v>-</v>
      </c>
      <c r="E273" s="137" t="s">
        <v>90</v>
      </c>
      <c r="F273" s="794" t="s">
        <v>90</v>
      </c>
      <c r="G273" s="137" t="s">
        <v>90</v>
      </c>
      <c r="H273" s="137" t="s">
        <v>90</v>
      </c>
      <c r="I273" s="794" t="s">
        <v>90</v>
      </c>
      <c r="J273" s="137" t="s">
        <v>90</v>
      </c>
      <c r="K273" s="786" t="s">
        <v>710</v>
      </c>
      <c r="L273" s="788">
        <f t="shared" si="53"/>
        <v>0.45</v>
      </c>
      <c r="M273" s="788">
        <f t="shared" si="54"/>
        <v>0.4</v>
      </c>
      <c r="N273" s="788">
        <f t="shared" si="55"/>
        <v>0.75</v>
      </c>
      <c r="P273" s="699" t="s">
        <v>87</v>
      </c>
      <c r="R273" s="785">
        <v>5</v>
      </c>
      <c r="S273" s="743">
        <v>6</v>
      </c>
      <c r="AP273" s="699" t="s">
        <v>87</v>
      </c>
    </row>
    <row r="274" spans="1:42" x14ac:dyDescent="0.2">
      <c r="A274" s="641" t="s">
        <v>951</v>
      </c>
      <c r="B274" s="169">
        <v>18</v>
      </c>
      <c r="C274" s="285" t="str">
        <f t="shared" si="51"/>
        <v>-</v>
      </c>
      <c r="D274" s="739" t="str">
        <f t="shared" si="52"/>
        <v>-</v>
      </c>
      <c r="E274" s="137" t="s">
        <v>90</v>
      </c>
      <c r="F274" s="794" t="s">
        <v>90</v>
      </c>
      <c r="G274" s="137" t="s">
        <v>90</v>
      </c>
      <c r="H274" s="137" t="s">
        <v>90</v>
      </c>
      <c r="I274" s="794" t="s">
        <v>90</v>
      </c>
      <c r="J274" s="137" t="s">
        <v>90</v>
      </c>
      <c r="K274" s="786" t="s">
        <v>710</v>
      </c>
      <c r="L274" s="788">
        <f t="shared" si="53"/>
        <v>0.45</v>
      </c>
      <c r="M274" s="788">
        <f t="shared" si="54"/>
        <v>0.4</v>
      </c>
      <c r="N274" s="788">
        <f t="shared" si="55"/>
        <v>0.75</v>
      </c>
      <c r="P274" s="699" t="s">
        <v>87</v>
      </c>
      <c r="R274" s="785">
        <v>5</v>
      </c>
      <c r="S274" s="743">
        <v>6</v>
      </c>
      <c r="AP274" s="699" t="s">
        <v>87</v>
      </c>
    </row>
    <row r="275" spans="1:42" x14ac:dyDescent="0.2">
      <c r="A275" s="641" t="s">
        <v>952</v>
      </c>
      <c r="B275" s="169">
        <v>19</v>
      </c>
      <c r="C275" s="285" t="str">
        <f t="shared" si="51"/>
        <v>-</v>
      </c>
      <c r="D275" s="739" t="str">
        <f t="shared" si="52"/>
        <v>-</v>
      </c>
      <c r="E275" s="137" t="s">
        <v>90</v>
      </c>
      <c r="F275" s="794" t="s">
        <v>90</v>
      </c>
      <c r="G275" s="137" t="s">
        <v>90</v>
      </c>
      <c r="H275" s="137" t="s">
        <v>90</v>
      </c>
      <c r="I275" s="794" t="s">
        <v>90</v>
      </c>
      <c r="J275" s="137" t="s">
        <v>90</v>
      </c>
      <c r="K275" s="786" t="s">
        <v>710</v>
      </c>
      <c r="L275" s="788">
        <f t="shared" si="53"/>
        <v>0.45</v>
      </c>
      <c r="M275" s="788">
        <f t="shared" si="54"/>
        <v>0.4</v>
      </c>
      <c r="N275" s="788">
        <f t="shared" si="55"/>
        <v>0.75</v>
      </c>
      <c r="P275" s="699" t="s">
        <v>87</v>
      </c>
      <c r="R275" s="785">
        <v>5</v>
      </c>
      <c r="S275" s="743">
        <v>6</v>
      </c>
      <c r="AP275" s="699" t="s">
        <v>87</v>
      </c>
    </row>
    <row r="276" spans="1:42" x14ac:dyDescent="0.2">
      <c r="A276" s="641" t="s">
        <v>204</v>
      </c>
      <c r="B276" s="169">
        <v>20</v>
      </c>
      <c r="C276" s="285" t="str">
        <f t="shared" si="51"/>
        <v>-</v>
      </c>
      <c r="D276" s="739" t="str">
        <f t="shared" si="52"/>
        <v>-</v>
      </c>
      <c r="E276" s="137" t="s">
        <v>90</v>
      </c>
      <c r="F276" s="794" t="s">
        <v>90</v>
      </c>
      <c r="G276" s="137" t="s">
        <v>90</v>
      </c>
      <c r="H276" s="137" t="s">
        <v>90</v>
      </c>
      <c r="I276" s="794" t="s">
        <v>90</v>
      </c>
      <c r="J276" s="137" t="s">
        <v>90</v>
      </c>
      <c r="K276" s="786" t="s">
        <v>706</v>
      </c>
      <c r="L276" s="788">
        <f t="shared" si="53"/>
        <v>0.5</v>
      </c>
      <c r="M276" s="788">
        <f t="shared" si="54"/>
        <v>0.35</v>
      </c>
      <c r="N276" s="788">
        <f t="shared" si="55"/>
        <v>0.75</v>
      </c>
      <c r="P276" s="699" t="s">
        <v>87</v>
      </c>
      <c r="R276" s="785">
        <v>6</v>
      </c>
      <c r="S276" s="743">
        <v>5</v>
      </c>
      <c r="AP276" s="699" t="s">
        <v>87</v>
      </c>
    </row>
    <row r="277" spans="1:42" x14ac:dyDescent="0.2">
      <c r="A277" s="641" t="s">
        <v>953</v>
      </c>
      <c r="B277" s="169">
        <v>21</v>
      </c>
      <c r="C277" s="285" t="str">
        <f t="shared" si="51"/>
        <v>-</v>
      </c>
      <c r="D277" s="739" t="str">
        <f t="shared" si="52"/>
        <v>-</v>
      </c>
      <c r="E277" s="137" t="s">
        <v>90</v>
      </c>
      <c r="F277" s="794" t="s">
        <v>90</v>
      </c>
      <c r="G277" s="137" t="s">
        <v>90</v>
      </c>
      <c r="H277" s="137" t="s">
        <v>90</v>
      </c>
      <c r="I277" s="794" t="s">
        <v>90</v>
      </c>
      <c r="J277" s="137" t="s">
        <v>90</v>
      </c>
      <c r="K277" s="786" t="s">
        <v>707</v>
      </c>
      <c r="L277" s="788">
        <f t="shared" si="53"/>
        <v>0.5</v>
      </c>
      <c r="M277" s="788">
        <f t="shared" si="54"/>
        <v>0.35</v>
      </c>
      <c r="N277" s="788">
        <f t="shared" si="55"/>
        <v>0.75</v>
      </c>
      <c r="P277" s="699" t="s">
        <v>87</v>
      </c>
      <c r="R277" s="785">
        <v>6</v>
      </c>
      <c r="S277" s="743">
        <v>5</v>
      </c>
      <c r="AP277" s="699" t="s">
        <v>87</v>
      </c>
    </row>
    <row r="278" spans="1:42" x14ac:dyDescent="0.2">
      <c r="A278" s="97" t="s">
        <v>274</v>
      </c>
      <c r="B278" s="162">
        <v>22</v>
      </c>
      <c r="C278" s="153" t="str">
        <f t="shared" si="51"/>
        <v>-</v>
      </c>
      <c r="D278" s="756" t="str">
        <f t="shared" si="52"/>
        <v>-</v>
      </c>
      <c r="E278" s="139" t="s">
        <v>90</v>
      </c>
      <c r="F278" s="796" t="s">
        <v>90</v>
      </c>
      <c r="G278" s="139" t="s">
        <v>90</v>
      </c>
      <c r="H278" s="139" t="s">
        <v>90</v>
      </c>
      <c r="I278" s="796" t="s">
        <v>90</v>
      </c>
      <c r="J278" s="139" t="s">
        <v>90</v>
      </c>
      <c r="K278" s="789" t="s">
        <v>711</v>
      </c>
      <c r="L278" s="791">
        <f t="shared" si="53"/>
        <v>0.5</v>
      </c>
      <c r="M278" s="791">
        <f t="shared" si="54"/>
        <v>0.35</v>
      </c>
      <c r="N278" s="791">
        <f t="shared" si="55"/>
        <v>0.5</v>
      </c>
      <c r="P278" s="699" t="s">
        <v>87</v>
      </c>
      <c r="R278" s="792">
        <v>6</v>
      </c>
      <c r="S278" s="762">
        <v>5</v>
      </c>
      <c r="AP278" s="699" t="s">
        <v>87</v>
      </c>
    </row>
    <row r="279" spans="1:42" x14ac:dyDescent="0.2">
      <c r="P279" s="699" t="s">
        <v>87</v>
      </c>
      <c r="AP279" s="699" t="s">
        <v>87</v>
      </c>
    </row>
    <row r="280" spans="1:42" ht="14.25" x14ac:dyDescent="0.2">
      <c r="A280" s="793" t="str">
        <f>$A$17</f>
        <v>Detailed information for</v>
      </c>
      <c r="B280" s="764"/>
      <c r="C280" s="765" t="s">
        <v>731</v>
      </c>
      <c r="D280" s="766" t="s">
        <v>732</v>
      </c>
      <c r="E280" s="767"/>
      <c r="F280" s="767"/>
      <c r="G280" s="768"/>
      <c r="H280" s="769" t="s">
        <v>733</v>
      </c>
      <c r="I280" s="770"/>
      <c r="J280" s="770"/>
      <c r="K280" s="771" t="s">
        <v>33</v>
      </c>
      <c r="L280" s="772" t="s">
        <v>734</v>
      </c>
      <c r="M280" s="770"/>
      <c r="N280" s="770"/>
      <c r="P280" s="699" t="s">
        <v>87</v>
      </c>
      <c r="R280" s="773" t="s">
        <v>735</v>
      </c>
      <c r="S280" s="770"/>
      <c r="AP280" s="699" t="s">
        <v>87</v>
      </c>
    </row>
    <row r="281" spans="1:42" ht="15" x14ac:dyDescent="0.25">
      <c r="A281" s="774" t="s">
        <v>726</v>
      </c>
      <c r="B281" s="775"/>
      <c r="C281" s="776" t="s">
        <v>736</v>
      </c>
      <c r="D281" s="777" t="s">
        <v>173</v>
      </c>
      <c r="E281" s="777" t="s">
        <v>737</v>
      </c>
      <c r="F281" s="777" t="s">
        <v>738</v>
      </c>
      <c r="G281" s="777" t="s">
        <v>739</v>
      </c>
      <c r="H281" s="777" t="s">
        <v>737</v>
      </c>
      <c r="I281" s="777" t="s">
        <v>738</v>
      </c>
      <c r="J281" s="777" t="s">
        <v>740</v>
      </c>
      <c r="K281" s="778" t="s">
        <v>8</v>
      </c>
      <c r="L281" s="779" t="s">
        <v>741</v>
      </c>
      <c r="M281" s="779" t="s">
        <v>742</v>
      </c>
      <c r="N281" s="780" t="s">
        <v>743</v>
      </c>
      <c r="P281" s="699" t="s">
        <v>87</v>
      </c>
      <c r="R281" s="777" t="s">
        <v>744</v>
      </c>
      <c r="S281" s="777" t="s">
        <v>745</v>
      </c>
      <c r="AP281" s="699" t="s">
        <v>87</v>
      </c>
    </row>
    <row r="282" spans="1:42" ht="14.25" x14ac:dyDescent="0.2">
      <c r="A282" s="662"/>
      <c r="B282" s="104">
        <v>166</v>
      </c>
      <c r="C282" s="167" t="s">
        <v>746</v>
      </c>
      <c r="D282" s="167" t="s">
        <v>747</v>
      </c>
      <c r="E282" s="167">
        <v>3</v>
      </c>
      <c r="F282" s="167">
        <v>4</v>
      </c>
      <c r="G282" s="167">
        <v>5</v>
      </c>
      <c r="H282" s="167">
        <v>6</v>
      </c>
      <c r="I282" s="167">
        <v>7</v>
      </c>
      <c r="J282" s="167">
        <v>8</v>
      </c>
      <c r="K282" s="167"/>
      <c r="L282" s="167"/>
      <c r="M282" s="167"/>
      <c r="N282" s="214"/>
      <c r="P282" s="699" t="s">
        <v>87</v>
      </c>
      <c r="R282" s="781"/>
      <c r="S282" s="106"/>
      <c r="AP282" s="699" t="s">
        <v>87</v>
      </c>
    </row>
    <row r="283" spans="1:42" x14ac:dyDescent="0.2">
      <c r="A283" s="641" t="s">
        <v>195</v>
      </c>
      <c r="B283" s="169">
        <v>1</v>
      </c>
      <c r="C283" s="285" t="str">
        <f t="shared" ref="C283:C304" si="56">IF(OR(D283&lt;&gt;"-",I283&lt;&gt;"-"),SQRT(PRODUCT(L283,SUM(D283))^2+PRODUCT(M283,SUM(I283))^2+2*PRODUCT(N283,L283,SUM(D283),M283,SUM(I283))),"-")</f>
        <v>-</v>
      </c>
      <c r="D283" s="739" t="str">
        <f t="shared" ref="D283:D304" si="57">IF(OR(F283&lt;&gt;"-",G283&lt;&gt;"-"),MAX(SUM(F283),SUM(G283)),"-")</f>
        <v>-</v>
      </c>
      <c r="E283" s="149" t="s">
        <v>90</v>
      </c>
      <c r="F283" s="797" t="s">
        <v>90</v>
      </c>
      <c r="G283" s="149" t="s">
        <v>90</v>
      </c>
      <c r="H283" s="137" t="s">
        <v>90</v>
      </c>
      <c r="I283" s="794" t="s">
        <v>90</v>
      </c>
      <c r="J283" s="137" t="s">
        <v>90</v>
      </c>
      <c r="K283" s="786" t="s">
        <v>709</v>
      </c>
      <c r="L283" s="788">
        <f t="shared" ref="L283:L304" si="58">IFERROR(INDEX(ICS.NL.Buckets.P,R283),"-")</f>
        <v>0.3</v>
      </c>
      <c r="M283" s="788">
        <f t="shared" ref="M283:M304" si="59">IFERROR(INDEX(ICS.NL.Buckets.R,S283),"-")</f>
        <v>0.2</v>
      </c>
      <c r="N283" s="788">
        <f t="shared" ref="N283:N304" si="60">IFERROR(INDEX(ICS.NL.Corr.P_R,MATCH(K283,ICS.NL.CategMapping,0)),1)</f>
        <v>0.25</v>
      </c>
      <c r="P283" s="699" t="s">
        <v>87</v>
      </c>
      <c r="R283" s="785">
        <v>3</v>
      </c>
      <c r="S283" s="743">
        <v>2</v>
      </c>
      <c r="AP283" s="699" t="s">
        <v>87</v>
      </c>
    </row>
    <row r="284" spans="1:42" x14ac:dyDescent="0.2">
      <c r="A284" s="641" t="s">
        <v>939</v>
      </c>
      <c r="B284" s="169">
        <v>2</v>
      </c>
      <c r="C284" s="285" t="str">
        <f t="shared" si="56"/>
        <v>-</v>
      </c>
      <c r="D284" s="739" t="str">
        <f t="shared" si="57"/>
        <v>-</v>
      </c>
      <c r="E284" s="137" t="s">
        <v>90</v>
      </c>
      <c r="F284" s="794" t="s">
        <v>90</v>
      </c>
      <c r="G284" s="137" t="s">
        <v>90</v>
      </c>
      <c r="H284" s="137" t="s">
        <v>90</v>
      </c>
      <c r="I284" s="794" t="s">
        <v>90</v>
      </c>
      <c r="J284" s="137" t="s">
        <v>90</v>
      </c>
      <c r="K284" s="786" t="s">
        <v>709</v>
      </c>
      <c r="L284" s="788">
        <f t="shared" si="58"/>
        <v>0.3</v>
      </c>
      <c r="M284" s="788">
        <f t="shared" si="59"/>
        <v>0.25</v>
      </c>
      <c r="N284" s="788">
        <f t="shared" si="60"/>
        <v>0.25</v>
      </c>
      <c r="P284" s="699" t="s">
        <v>87</v>
      </c>
      <c r="R284" s="785">
        <v>3</v>
      </c>
      <c r="S284" s="743">
        <v>3</v>
      </c>
      <c r="AP284" s="699" t="s">
        <v>87</v>
      </c>
    </row>
    <row r="285" spans="1:42" x14ac:dyDescent="0.2">
      <c r="A285" s="641" t="s">
        <v>940</v>
      </c>
      <c r="B285" s="169">
        <v>3</v>
      </c>
      <c r="C285" s="285" t="str">
        <f t="shared" si="56"/>
        <v>-</v>
      </c>
      <c r="D285" s="739" t="str">
        <f t="shared" si="57"/>
        <v>-</v>
      </c>
      <c r="E285" s="137" t="s">
        <v>90</v>
      </c>
      <c r="F285" s="794" t="s">
        <v>90</v>
      </c>
      <c r="G285" s="137" t="s">
        <v>90</v>
      </c>
      <c r="H285" s="137" t="s">
        <v>90</v>
      </c>
      <c r="I285" s="794" t="s">
        <v>90</v>
      </c>
      <c r="J285" s="137" t="s">
        <v>90</v>
      </c>
      <c r="K285" s="786" t="s">
        <v>350</v>
      </c>
      <c r="L285" s="788">
        <f t="shared" si="58"/>
        <v>0.3</v>
      </c>
      <c r="M285" s="788">
        <f t="shared" si="59"/>
        <v>0.25</v>
      </c>
      <c r="N285" s="788">
        <f t="shared" si="60"/>
        <v>0.5</v>
      </c>
      <c r="P285" s="699" t="s">
        <v>87</v>
      </c>
      <c r="R285" s="785">
        <v>3</v>
      </c>
      <c r="S285" s="743">
        <v>3</v>
      </c>
      <c r="AP285" s="699" t="s">
        <v>87</v>
      </c>
    </row>
    <row r="286" spans="1:42" x14ac:dyDescent="0.2">
      <c r="A286" s="641" t="s">
        <v>941</v>
      </c>
      <c r="B286" s="169">
        <v>4</v>
      </c>
      <c r="C286" s="285" t="str">
        <f t="shared" si="56"/>
        <v>-</v>
      </c>
      <c r="D286" s="739" t="str">
        <f t="shared" si="57"/>
        <v>-</v>
      </c>
      <c r="E286" s="137" t="s">
        <v>90</v>
      </c>
      <c r="F286" s="794" t="s">
        <v>90</v>
      </c>
      <c r="G286" s="137" t="s">
        <v>90</v>
      </c>
      <c r="H286" s="137" t="s">
        <v>90</v>
      </c>
      <c r="I286" s="794" t="s">
        <v>90</v>
      </c>
      <c r="J286" s="137" t="s">
        <v>90</v>
      </c>
      <c r="K286" s="786" t="s">
        <v>350</v>
      </c>
      <c r="L286" s="788">
        <f t="shared" si="58"/>
        <v>0.3</v>
      </c>
      <c r="M286" s="788">
        <f t="shared" si="59"/>
        <v>0.25</v>
      </c>
      <c r="N286" s="788">
        <f t="shared" si="60"/>
        <v>0.5</v>
      </c>
      <c r="P286" s="699" t="s">
        <v>87</v>
      </c>
      <c r="R286" s="785">
        <v>3</v>
      </c>
      <c r="S286" s="743">
        <v>3</v>
      </c>
      <c r="AP286" s="699" t="s">
        <v>87</v>
      </c>
    </row>
    <row r="287" spans="1:42" x14ac:dyDescent="0.2">
      <c r="A287" s="641" t="s">
        <v>942</v>
      </c>
      <c r="B287" s="169">
        <v>5</v>
      </c>
      <c r="C287" s="285" t="str">
        <f t="shared" si="56"/>
        <v>-</v>
      </c>
      <c r="D287" s="739" t="str">
        <f t="shared" si="57"/>
        <v>-</v>
      </c>
      <c r="E287" s="137" t="s">
        <v>90</v>
      </c>
      <c r="F287" s="794" t="s">
        <v>90</v>
      </c>
      <c r="G287" s="137" t="s">
        <v>90</v>
      </c>
      <c r="H287" s="137" t="s">
        <v>90</v>
      </c>
      <c r="I287" s="794" t="s">
        <v>90</v>
      </c>
      <c r="J287" s="137" t="s">
        <v>90</v>
      </c>
      <c r="K287" s="786" t="s">
        <v>709</v>
      </c>
      <c r="L287" s="788">
        <f t="shared" si="58"/>
        <v>0.3</v>
      </c>
      <c r="M287" s="788">
        <f t="shared" si="59"/>
        <v>0.3</v>
      </c>
      <c r="N287" s="788">
        <f t="shared" si="60"/>
        <v>0.25</v>
      </c>
      <c r="P287" s="699" t="s">
        <v>87</v>
      </c>
      <c r="R287" s="785">
        <v>3</v>
      </c>
      <c r="S287" s="743">
        <v>4</v>
      </c>
      <c r="AP287" s="699" t="s">
        <v>87</v>
      </c>
    </row>
    <row r="288" spans="1:42" x14ac:dyDescent="0.2">
      <c r="A288" s="641" t="s">
        <v>943</v>
      </c>
      <c r="B288" s="169">
        <v>6</v>
      </c>
      <c r="C288" s="285" t="str">
        <f t="shared" si="56"/>
        <v>-</v>
      </c>
      <c r="D288" s="739" t="str">
        <f t="shared" si="57"/>
        <v>-</v>
      </c>
      <c r="E288" s="137" t="s">
        <v>90</v>
      </c>
      <c r="F288" s="794" t="s">
        <v>90</v>
      </c>
      <c r="G288" s="137" t="s">
        <v>90</v>
      </c>
      <c r="H288" s="137" t="s">
        <v>90</v>
      </c>
      <c r="I288" s="794" t="s">
        <v>90</v>
      </c>
      <c r="J288" s="137" t="s">
        <v>90</v>
      </c>
      <c r="K288" s="786" t="s">
        <v>350</v>
      </c>
      <c r="L288" s="788">
        <f t="shared" si="58"/>
        <v>0.3</v>
      </c>
      <c r="M288" s="788">
        <f t="shared" si="59"/>
        <v>0.3</v>
      </c>
      <c r="N288" s="788">
        <f t="shared" si="60"/>
        <v>0.5</v>
      </c>
      <c r="P288" s="699" t="s">
        <v>87</v>
      </c>
      <c r="R288" s="785">
        <v>3</v>
      </c>
      <c r="S288" s="743">
        <v>4</v>
      </c>
      <c r="AP288" s="699" t="s">
        <v>87</v>
      </c>
    </row>
    <row r="289" spans="1:42" x14ac:dyDescent="0.2">
      <c r="A289" s="641" t="s">
        <v>944</v>
      </c>
      <c r="B289" s="169">
        <v>7</v>
      </c>
      <c r="C289" s="285" t="str">
        <f t="shared" si="56"/>
        <v>-</v>
      </c>
      <c r="D289" s="739" t="str">
        <f t="shared" si="57"/>
        <v>-</v>
      </c>
      <c r="E289" s="137" t="s">
        <v>90</v>
      </c>
      <c r="F289" s="794" t="s">
        <v>90</v>
      </c>
      <c r="G289" s="137" t="s">
        <v>90</v>
      </c>
      <c r="H289" s="137" t="s">
        <v>90</v>
      </c>
      <c r="I289" s="794" t="s">
        <v>90</v>
      </c>
      <c r="J289" s="137" t="s">
        <v>90</v>
      </c>
      <c r="K289" s="786" t="s">
        <v>710</v>
      </c>
      <c r="L289" s="788">
        <f t="shared" si="58"/>
        <v>0.35</v>
      </c>
      <c r="M289" s="788">
        <f t="shared" si="59"/>
        <v>0.3</v>
      </c>
      <c r="N289" s="788">
        <f t="shared" si="60"/>
        <v>0.75</v>
      </c>
      <c r="P289" s="699" t="s">
        <v>87</v>
      </c>
      <c r="R289" s="785">
        <v>4</v>
      </c>
      <c r="S289" s="743">
        <v>4</v>
      </c>
      <c r="AP289" s="699" t="s">
        <v>87</v>
      </c>
    </row>
    <row r="290" spans="1:42" x14ac:dyDescent="0.2">
      <c r="A290" s="641" t="s">
        <v>911</v>
      </c>
      <c r="B290" s="169">
        <v>8</v>
      </c>
      <c r="C290" s="285" t="str">
        <f t="shared" si="56"/>
        <v>-</v>
      </c>
      <c r="D290" s="739" t="str">
        <f t="shared" si="57"/>
        <v>-</v>
      </c>
      <c r="E290" s="137" t="s">
        <v>90</v>
      </c>
      <c r="F290" s="794" t="s">
        <v>90</v>
      </c>
      <c r="G290" s="137" t="s">
        <v>90</v>
      </c>
      <c r="H290" s="137" t="s">
        <v>90</v>
      </c>
      <c r="I290" s="794" t="s">
        <v>90</v>
      </c>
      <c r="J290" s="137" t="s">
        <v>90</v>
      </c>
      <c r="K290" s="786" t="s">
        <v>710</v>
      </c>
      <c r="L290" s="788">
        <f t="shared" si="58"/>
        <v>0.35</v>
      </c>
      <c r="M290" s="788">
        <f t="shared" si="59"/>
        <v>0.3</v>
      </c>
      <c r="N290" s="788">
        <f t="shared" si="60"/>
        <v>0.75</v>
      </c>
      <c r="P290" s="699" t="s">
        <v>87</v>
      </c>
      <c r="R290" s="785">
        <v>4</v>
      </c>
      <c r="S290" s="743">
        <v>4</v>
      </c>
      <c r="AP290" s="699" t="s">
        <v>87</v>
      </c>
    </row>
    <row r="291" spans="1:42" x14ac:dyDescent="0.2">
      <c r="A291" s="641" t="s">
        <v>945</v>
      </c>
      <c r="B291" s="169">
        <v>9</v>
      </c>
      <c r="C291" s="285" t="str">
        <f t="shared" si="56"/>
        <v>-</v>
      </c>
      <c r="D291" s="739" t="str">
        <f t="shared" si="57"/>
        <v>-</v>
      </c>
      <c r="E291" s="137" t="s">
        <v>90</v>
      </c>
      <c r="F291" s="794" t="s">
        <v>90</v>
      </c>
      <c r="G291" s="137" t="s">
        <v>90</v>
      </c>
      <c r="H291" s="137" t="s">
        <v>90</v>
      </c>
      <c r="I291" s="794" t="s">
        <v>90</v>
      </c>
      <c r="J291" s="137" t="s">
        <v>90</v>
      </c>
      <c r="K291" s="786" t="s">
        <v>710</v>
      </c>
      <c r="L291" s="788">
        <f t="shared" si="58"/>
        <v>0.35</v>
      </c>
      <c r="M291" s="788">
        <f t="shared" si="59"/>
        <v>0.4</v>
      </c>
      <c r="N291" s="788">
        <f t="shared" si="60"/>
        <v>0.75</v>
      </c>
      <c r="P291" s="699" t="s">
        <v>87</v>
      </c>
      <c r="R291" s="785">
        <v>4</v>
      </c>
      <c r="S291" s="743">
        <v>6</v>
      </c>
      <c r="AP291" s="699" t="s">
        <v>87</v>
      </c>
    </row>
    <row r="292" spans="1:42" x14ac:dyDescent="0.2">
      <c r="A292" s="641" t="s">
        <v>910</v>
      </c>
      <c r="B292" s="169">
        <v>10</v>
      </c>
      <c r="C292" s="285" t="str">
        <f t="shared" si="56"/>
        <v>-</v>
      </c>
      <c r="D292" s="739" t="str">
        <f t="shared" si="57"/>
        <v>-</v>
      </c>
      <c r="E292" s="137" t="s">
        <v>90</v>
      </c>
      <c r="F292" s="794" t="s">
        <v>90</v>
      </c>
      <c r="G292" s="137" t="s">
        <v>90</v>
      </c>
      <c r="H292" s="137" t="s">
        <v>90</v>
      </c>
      <c r="I292" s="794" t="s">
        <v>90</v>
      </c>
      <c r="J292" s="137" t="s">
        <v>90</v>
      </c>
      <c r="K292" s="786" t="s">
        <v>710</v>
      </c>
      <c r="L292" s="788">
        <f t="shared" si="58"/>
        <v>0.35</v>
      </c>
      <c r="M292" s="788">
        <f t="shared" si="59"/>
        <v>0.3</v>
      </c>
      <c r="N292" s="788">
        <f t="shared" si="60"/>
        <v>0.75</v>
      </c>
      <c r="P292" s="699" t="s">
        <v>87</v>
      </c>
      <c r="R292" s="785">
        <v>4</v>
      </c>
      <c r="S292" s="743">
        <v>4</v>
      </c>
      <c r="AP292" s="699" t="s">
        <v>87</v>
      </c>
    </row>
    <row r="293" spans="1:42" x14ac:dyDescent="0.2">
      <c r="A293" s="641" t="s">
        <v>281</v>
      </c>
      <c r="B293" s="169">
        <v>11</v>
      </c>
      <c r="C293" s="285" t="str">
        <f t="shared" si="56"/>
        <v>-</v>
      </c>
      <c r="D293" s="739" t="str">
        <f t="shared" si="57"/>
        <v>-</v>
      </c>
      <c r="E293" s="137" t="s">
        <v>90</v>
      </c>
      <c r="F293" s="794" t="s">
        <v>90</v>
      </c>
      <c r="G293" s="137" t="s">
        <v>90</v>
      </c>
      <c r="H293" s="137" t="s">
        <v>90</v>
      </c>
      <c r="I293" s="794" t="s">
        <v>90</v>
      </c>
      <c r="J293" s="137" t="s">
        <v>90</v>
      </c>
      <c r="K293" s="786" t="s">
        <v>710</v>
      </c>
      <c r="L293" s="788">
        <f t="shared" si="58"/>
        <v>0.35</v>
      </c>
      <c r="M293" s="788">
        <f t="shared" si="59"/>
        <v>0.3</v>
      </c>
      <c r="N293" s="788">
        <f t="shared" si="60"/>
        <v>0.75</v>
      </c>
      <c r="P293" s="699" t="s">
        <v>87</v>
      </c>
      <c r="R293" s="785">
        <v>4</v>
      </c>
      <c r="S293" s="743">
        <v>4</v>
      </c>
      <c r="AP293" s="699" t="s">
        <v>87</v>
      </c>
    </row>
    <row r="294" spans="1:42" x14ac:dyDescent="0.2">
      <c r="A294" s="641" t="s">
        <v>946</v>
      </c>
      <c r="B294" s="169">
        <v>12</v>
      </c>
      <c r="C294" s="285" t="str">
        <f t="shared" si="56"/>
        <v>-</v>
      </c>
      <c r="D294" s="739" t="str">
        <f t="shared" si="57"/>
        <v>-</v>
      </c>
      <c r="E294" s="137" t="s">
        <v>90</v>
      </c>
      <c r="F294" s="794" t="s">
        <v>90</v>
      </c>
      <c r="G294" s="137" t="s">
        <v>90</v>
      </c>
      <c r="H294" s="137" t="s">
        <v>90</v>
      </c>
      <c r="I294" s="794" t="s">
        <v>90</v>
      </c>
      <c r="J294" s="137" t="s">
        <v>90</v>
      </c>
      <c r="K294" s="786" t="s">
        <v>350</v>
      </c>
      <c r="L294" s="788">
        <f t="shared" si="58"/>
        <v>0.35</v>
      </c>
      <c r="M294" s="788">
        <f t="shared" si="59"/>
        <v>0.3</v>
      </c>
      <c r="N294" s="788">
        <f t="shared" si="60"/>
        <v>0.5</v>
      </c>
      <c r="P294" s="699" t="s">
        <v>87</v>
      </c>
      <c r="R294" s="785">
        <v>4</v>
      </c>
      <c r="S294" s="743">
        <v>4</v>
      </c>
      <c r="AP294" s="699" t="s">
        <v>87</v>
      </c>
    </row>
    <row r="295" spans="1:42" x14ac:dyDescent="0.2">
      <c r="A295" s="641" t="s">
        <v>947</v>
      </c>
      <c r="B295" s="169">
        <v>13</v>
      </c>
      <c r="C295" s="285" t="str">
        <f t="shared" si="56"/>
        <v>-</v>
      </c>
      <c r="D295" s="739" t="str">
        <f t="shared" si="57"/>
        <v>-</v>
      </c>
      <c r="E295" s="137" t="s">
        <v>90</v>
      </c>
      <c r="F295" s="794" t="s">
        <v>90</v>
      </c>
      <c r="G295" s="137" t="s">
        <v>90</v>
      </c>
      <c r="H295" s="137" t="s">
        <v>90</v>
      </c>
      <c r="I295" s="794" t="s">
        <v>90</v>
      </c>
      <c r="J295" s="137" t="s">
        <v>90</v>
      </c>
      <c r="K295" s="786" t="s">
        <v>709</v>
      </c>
      <c r="L295" s="788">
        <f t="shared" si="58"/>
        <v>0.45</v>
      </c>
      <c r="M295" s="788">
        <f t="shared" si="59"/>
        <v>0.4</v>
      </c>
      <c r="N295" s="788">
        <f t="shared" si="60"/>
        <v>0.25</v>
      </c>
      <c r="P295" s="699" t="s">
        <v>87</v>
      </c>
      <c r="R295" s="785">
        <v>5</v>
      </c>
      <c r="S295" s="743">
        <v>6</v>
      </c>
      <c r="AP295" s="699" t="s">
        <v>87</v>
      </c>
    </row>
    <row r="296" spans="1:42" x14ac:dyDescent="0.2">
      <c r="A296" s="641" t="s">
        <v>948</v>
      </c>
      <c r="B296" s="169">
        <v>14</v>
      </c>
      <c r="C296" s="285" t="str">
        <f t="shared" si="56"/>
        <v>-</v>
      </c>
      <c r="D296" s="739" t="str">
        <f t="shared" si="57"/>
        <v>-</v>
      </c>
      <c r="E296" s="137" t="s">
        <v>90</v>
      </c>
      <c r="F296" s="794" t="s">
        <v>90</v>
      </c>
      <c r="G296" s="137" t="s">
        <v>90</v>
      </c>
      <c r="H296" s="137" t="s">
        <v>90</v>
      </c>
      <c r="I296" s="794" t="s">
        <v>90</v>
      </c>
      <c r="J296" s="137" t="s">
        <v>90</v>
      </c>
      <c r="K296" s="786" t="s">
        <v>709</v>
      </c>
      <c r="L296" s="788">
        <f t="shared" si="58"/>
        <v>0.45</v>
      </c>
      <c r="M296" s="788">
        <f t="shared" si="59"/>
        <v>0.4</v>
      </c>
      <c r="N296" s="788">
        <f t="shared" si="60"/>
        <v>0.25</v>
      </c>
      <c r="P296" s="699" t="s">
        <v>87</v>
      </c>
      <c r="R296" s="785">
        <v>5</v>
      </c>
      <c r="S296" s="743">
        <v>6</v>
      </c>
      <c r="AP296" s="699" t="s">
        <v>87</v>
      </c>
    </row>
    <row r="297" spans="1:42" x14ac:dyDescent="0.2">
      <c r="A297" s="641" t="s">
        <v>284</v>
      </c>
      <c r="B297" s="169">
        <v>15</v>
      </c>
      <c r="C297" s="285" t="str">
        <f t="shared" si="56"/>
        <v>-</v>
      </c>
      <c r="D297" s="739" t="str">
        <f t="shared" si="57"/>
        <v>-</v>
      </c>
      <c r="E297" s="137" t="s">
        <v>90</v>
      </c>
      <c r="F297" s="794" t="s">
        <v>90</v>
      </c>
      <c r="G297" s="137" t="s">
        <v>90</v>
      </c>
      <c r="H297" s="137" t="s">
        <v>90</v>
      </c>
      <c r="I297" s="794" t="s">
        <v>90</v>
      </c>
      <c r="J297" s="137" t="s">
        <v>90</v>
      </c>
      <c r="K297" s="786" t="s">
        <v>709</v>
      </c>
      <c r="L297" s="788">
        <f t="shared" si="58"/>
        <v>0.45</v>
      </c>
      <c r="M297" s="788">
        <f t="shared" si="59"/>
        <v>0.4</v>
      </c>
      <c r="N297" s="788">
        <f t="shared" si="60"/>
        <v>0.25</v>
      </c>
      <c r="P297" s="699" t="s">
        <v>87</v>
      </c>
      <c r="R297" s="785">
        <v>5</v>
      </c>
      <c r="S297" s="743">
        <v>6</v>
      </c>
      <c r="AP297" s="699" t="s">
        <v>87</v>
      </c>
    </row>
    <row r="298" spans="1:42" x14ac:dyDescent="0.2">
      <c r="A298" s="641" t="s">
        <v>949</v>
      </c>
      <c r="B298" s="169">
        <v>16</v>
      </c>
      <c r="C298" s="285" t="str">
        <f t="shared" si="56"/>
        <v>-</v>
      </c>
      <c r="D298" s="739" t="str">
        <f t="shared" si="57"/>
        <v>-</v>
      </c>
      <c r="E298" s="137" t="s">
        <v>90</v>
      </c>
      <c r="F298" s="794" t="s">
        <v>90</v>
      </c>
      <c r="G298" s="137" t="s">
        <v>90</v>
      </c>
      <c r="H298" s="137" t="s">
        <v>90</v>
      </c>
      <c r="I298" s="794" t="s">
        <v>90</v>
      </c>
      <c r="J298" s="137" t="s">
        <v>90</v>
      </c>
      <c r="K298" s="786" t="s">
        <v>710</v>
      </c>
      <c r="L298" s="788">
        <f t="shared" si="58"/>
        <v>0.45</v>
      </c>
      <c r="M298" s="788">
        <f t="shared" si="59"/>
        <v>0.4</v>
      </c>
      <c r="N298" s="788">
        <f t="shared" si="60"/>
        <v>0.75</v>
      </c>
      <c r="P298" s="699" t="s">
        <v>87</v>
      </c>
      <c r="R298" s="785">
        <v>5</v>
      </c>
      <c r="S298" s="743">
        <v>6</v>
      </c>
      <c r="AP298" s="699" t="s">
        <v>87</v>
      </c>
    </row>
    <row r="299" spans="1:42" x14ac:dyDescent="0.2">
      <c r="A299" s="641" t="s">
        <v>950</v>
      </c>
      <c r="B299" s="169">
        <v>17</v>
      </c>
      <c r="C299" s="285" t="str">
        <f t="shared" si="56"/>
        <v>-</v>
      </c>
      <c r="D299" s="739" t="str">
        <f t="shared" si="57"/>
        <v>-</v>
      </c>
      <c r="E299" s="137" t="s">
        <v>90</v>
      </c>
      <c r="F299" s="794" t="s">
        <v>90</v>
      </c>
      <c r="G299" s="137" t="s">
        <v>90</v>
      </c>
      <c r="H299" s="137" t="s">
        <v>90</v>
      </c>
      <c r="I299" s="794" t="s">
        <v>90</v>
      </c>
      <c r="J299" s="137" t="s">
        <v>90</v>
      </c>
      <c r="K299" s="786" t="s">
        <v>710</v>
      </c>
      <c r="L299" s="788">
        <f t="shared" si="58"/>
        <v>0.45</v>
      </c>
      <c r="M299" s="788">
        <f t="shared" si="59"/>
        <v>0.4</v>
      </c>
      <c r="N299" s="788">
        <f t="shared" si="60"/>
        <v>0.75</v>
      </c>
      <c r="P299" s="699" t="s">
        <v>87</v>
      </c>
      <c r="R299" s="785">
        <v>5</v>
      </c>
      <c r="S299" s="743">
        <v>6</v>
      </c>
      <c r="AP299" s="699" t="s">
        <v>87</v>
      </c>
    </row>
    <row r="300" spans="1:42" x14ac:dyDescent="0.2">
      <c r="A300" s="641" t="s">
        <v>951</v>
      </c>
      <c r="B300" s="169">
        <v>18</v>
      </c>
      <c r="C300" s="285" t="str">
        <f t="shared" si="56"/>
        <v>-</v>
      </c>
      <c r="D300" s="739" t="str">
        <f t="shared" si="57"/>
        <v>-</v>
      </c>
      <c r="E300" s="137" t="s">
        <v>90</v>
      </c>
      <c r="F300" s="794" t="s">
        <v>90</v>
      </c>
      <c r="G300" s="137" t="s">
        <v>90</v>
      </c>
      <c r="H300" s="137" t="s">
        <v>90</v>
      </c>
      <c r="I300" s="794" t="s">
        <v>90</v>
      </c>
      <c r="J300" s="137" t="s">
        <v>90</v>
      </c>
      <c r="K300" s="786" t="s">
        <v>710</v>
      </c>
      <c r="L300" s="788">
        <f t="shared" si="58"/>
        <v>0.45</v>
      </c>
      <c r="M300" s="788">
        <f t="shared" si="59"/>
        <v>0.4</v>
      </c>
      <c r="N300" s="788">
        <f t="shared" si="60"/>
        <v>0.75</v>
      </c>
      <c r="P300" s="699" t="s">
        <v>87</v>
      </c>
      <c r="R300" s="785">
        <v>5</v>
      </c>
      <c r="S300" s="743">
        <v>6</v>
      </c>
      <c r="AP300" s="699" t="s">
        <v>87</v>
      </c>
    </row>
    <row r="301" spans="1:42" x14ac:dyDescent="0.2">
      <c r="A301" s="641" t="s">
        <v>952</v>
      </c>
      <c r="B301" s="169">
        <v>19</v>
      </c>
      <c r="C301" s="285" t="str">
        <f t="shared" si="56"/>
        <v>-</v>
      </c>
      <c r="D301" s="739" t="str">
        <f t="shared" si="57"/>
        <v>-</v>
      </c>
      <c r="E301" s="137" t="s">
        <v>90</v>
      </c>
      <c r="F301" s="794" t="s">
        <v>90</v>
      </c>
      <c r="G301" s="137" t="s">
        <v>90</v>
      </c>
      <c r="H301" s="137" t="s">
        <v>90</v>
      </c>
      <c r="I301" s="794" t="s">
        <v>90</v>
      </c>
      <c r="J301" s="137" t="s">
        <v>90</v>
      </c>
      <c r="K301" s="786" t="s">
        <v>710</v>
      </c>
      <c r="L301" s="788">
        <f t="shared" si="58"/>
        <v>0.45</v>
      </c>
      <c r="M301" s="788">
        <f t="shared" si="59"/>
        <v>0.4</v>
      </c>
      <c r="N301" s="788">
        <f t="shared" si="60"/>
        <v>0.75</v>
      </c>
      <c r="P301" s="699" t="s">
        <v>87</v>
      </c>
      <c r="R301" s="785">
        <v>5</v>
      </c>
      <c r="S301" s="743">
        <v>6</v>
      </c>
      <c r="AP301" s="699" t="s">
        <v>87</v>
      </c>
    </row>
    <row r="302" spans="1:42" x14ac:dyDescent="0.2">
      <c r="A302" s="641" t="s">
        <v>204</v>
      </c>
      <c r="B302" s="169">
        <v>20</v>
      </c>
      <c r="C302" s="285" t="str">
        <f t="shared" si="56"/>
        <v>-</v>
      </c>
      <c r="D302" s="739" t="str">
        <f t="shared" si="57"/>
        <v>-</v>
      </c>
      <c r="E302" s="137" t="s">
        <v>90</v>
      </c>
      <c r="F302" s="794" t="s">
        <v>90</v>
      </c>
      <c r="G302" s="137" t="s">
        <v>90</v>
      </c>
      <c r="H302" s="137" t="s">
        <v>90</v>
      </c>
      <c r="I302" s="794" t="s">
        <v>90</v>
      </c>
      <c r="J302" s="137" t="s">
        <v>90</v>
      </c>
      <c r="K302" s="786" t="s">
        <v>706</v>
      </c>
      <c r="L302" s="788">
        <f t="shared" si="58"/>
        <v>0.5</v>
      </c>
      <c r="M302" s="788">
        <f t="shared" si="59"/>
        <v>0.35</v>
      </c>
      <c r="N302" s="788">
        <f t="shared" si="60"/>
        <v>0.75</v>
      </c>
      <c r="P302" s="699" t="s">
        <v>87</v>
      </c>
      <c r="R302" s="785">
        <v>6</v>
      </c>
      <c r="S302" s="743">
        <v>5</v>
      </c>
      <c r="AP302" s="699" t="s">
        <v>87</v>
      </c>
    </row>
    <row r="303" spans="1:42" x14ac:dyDescent="0.2">
      <c r="A303" s="641" t="s">
        <v>953</v>
      </c>
      <c r="B303" s="169">
        <v>21</v>
      </c>
      <c r="C303" s="285" t="str">
        <f t="shared" si="56"/>
        <v>-</v>
      </c>
      <c r="D303" s="739" t="str">
        <f t="shared" si="57"/>
        <v>-</v>
      </c>
      <c r="E303" s="137" t="s">
        <v>90</v>
      </c>
      <c r="F303" s="794" t="s">
        <v>90</v>
      </c>
      <c r="G303" s="137" t="s">
        <v>90</v>
      </c>
      <c r="H303" s="137" t="s">
        <v>90</v>
      </c>
      <c r="I303" s="794" t="s">
        <v>90</v>
      </c>
      <c r="J303" s="137" t="s">
        <v>90</v>
      </c>
      <c r="K303" s="786" t="s">
        <v>707</v>
      </c>
      <c r="L303" s="788">
        <f t="shared" si="58"/>
        <v>0.5</v>
      </c>
      <c r="M303" s="788">
        <f t="shared" si="59"/>
        <v>0.35</v>
      </c>
      <c r="N303" s="788">
        <f t="shared" si="60"/>
        <v>0.75</v>
      </c>
      <c r="P303" s="699" t="s">
        <v>87</v>
      </c>
      <c r="R303" s="785">
        <v>6</v>
      </c>
      <c r="S303" s="743">
        <v>5</v>
      </c>
      <c r="AP303" s="699" t="s">
        <v>87</v>
      </c>
    </row>
    <row r="304" spans="1:42" x14ac:dyDescent="0.2">
      <c r="A304" s="97" t="s">
        <v>274</v>
      </c>
      <c r="B304" s="162">
        <v>22</v>
      </c>
      <c r="C304" s="153" t="str">
        <f t="shared" si="56"/>
        <v>-</v>
      </c>
      <c r="D304" s="756" t="str">
        <f t="shared" si="57"/>
        <v>-</v>
      </c>
      <c r="E304" s="139" t="s">
        <v>90</v>
      </c>
      <c r="F304" s="796" t="s">
        <v>90</v>
      </c>
      <c r="G304" s="139" t="s">
        <v>90</v>
      </c>
      <c r="H304" s="139" t="s">
        <v>90</v>
      </c>
      <c r="I304" s="796" t="s">
        <v>90</v>
      </c>
      <c r="J304" s="139" t="s">
        <v>90</v>
      </c>
      <c r="K304" s="789" t="s">
        <v>711</v>
      </c>
      <c r="L304" s="791">
        <f t="shared" si="58"/>
        <v>0.5</v>
      </c>
      <c r="M304" s="791">
        <f t="shared" si="59"/>
        <v>0.35</v>
      </c>
      <c r="N304" s="791">
        <f t="shared" si="60"/>
        <v>0.5</v>
      </c>
      <c r="P304" s="699" t="s">
        <v>87</v>
      </c>
      <c r="R304" s="792">
        <v>6</v>
      </c>
      <c r="S304" s="762">
        <v>5</v>
      </c>
      <c r="AP304" s="699" t="s">
        <v>87</v>
      </c>
    </row>
    <row r="305" spans="1:42" x14ac:dyDescent="0.2">
      <c r="P305" s="699" t="s">
        <v>87</v>
      </c>
      <c r="AP305" s="699" t="s">
        <v>87</v>
      </c>
    </row>
    <row r="306" spans="1:42" x14ac:dyDescent="0.2">
      <c r="A306" s="699" t="s">
        <v>87</v>
      </c>
      <c r="B306" s="699" t="s">
        <v>87</v>
      </c>
      <c r="C306" s="699" t="s">
        <v>87</v>
      </c>
      <c r="D306" s="699" t="s">
        <v>87</v>
      </c>
      <c r="E306" s="699" t="s">
        <v>87</v>
      </c>
      <c r="F306" s="699" t="s">
        <v>87</v>
      </c>
      <c r="G306" s="699" t="s">
        <v>87</v>
      </c>
      <c r="H306" s="699" t="s">
        <v>87</v>
      </c>
      <c r="I306" s="699" t="s">
        <v>87</v>
      </c>
      <c r="J306" s="699" t="s">
        <v>87</v>
      </c>
      <c r="K306" s="699" t="s">
        <v>87</v>
      </c>
      <c r="L306" s="699" t="s">
        <v>87</v>
      </c>
      <c r="M306" s="699" t="s">
        <v>87</v>
      </c>
      <c r="N306" s="699" t="s">
        <v>87</v>
      </c>
      <c r="O306" s="699" t="s">
        <v>87</v>
      </c>
      <c r="P306" s="699" t="s">
        <v>87</v>
      </c>
      <c r="Q306" s="699" t="s">
        <v>87</v>
      </c>
      <c r="R306" s="699" t="s">
        <v>87</v>
      </c>
      <c r="S306" s="699" t="s">
        <v>87</v>
      </c>
      <c r="T306" s="699" t="s">
        <v>87</v>
      </c>
      <c r="U306" s="699" t="s">
        <v>87</v>
      </c>
      <c r="V306" s="699" t="s">
        <v>87</v>
      </c>
      <c r="W306" s="699" t="s">
        <v>87</v>
      </c>
      <c r="X306" s="699" t="s">
        <v>87</v>
      </c>
      <c r="Y306" s="699" t="s">
        <v>87</v>
      </c>
      <c r="Z306" s="699" t="s">
        <v>87</v>
      </c>
      <c r="AA306" s="699" t="s">
        <v>87</v>
      </c>
      <c r="AB306" s="699" t="s">
        <v>87</v>
      </c>
      <c r="AC306" s="699" t="s">
        <v>87</v>
      </c>
      <c r="AD306" s="699" t="s">
        <v>87</v>
      </c>
      <c r="AE306" s="699" t="s">
        <v>87</v>
      </c>
      <c r="AF306" s="699" t="s">
        <v>87</v>
      </c>
      <c r="AG306" s="699" t="s">
        <v>87</v>
      </c>
      <c r="AH306" s="699" t="s">
        <v>87</v>
      </c>
      <c r="AI306" s="699" t="s">
        <v>87</v>
      </c>
      <c r="AJ306" s="699" t="s">
        <v>87</v>
      </c>
      <c r="AK306" s="699" t="s">
        <v>87</v>
      </c>
      <c r="AL306" s="699" t="s">
        <v>87</v>
      </c>
      <c r="AM306" s="699" t="s">
        <v>87</v>
      </c>
      <c r="AN306" s="699" t="s">
        <v>87</v>
      </c>
      <c r="AO306" s="699" t="s">
        <v>87</v>
      </c>
      <c r="AP306" s="699" t="s">
        <v>87</v>
      </c>
    </row>
  </sheetData>
  <mergeCells count="3">
    <mergeCell ref="G5:G6"/>
    <mergeCell ref="H5:H6"/>
    <mergeCell ref="I5:I6"/>
  </mergeCells>
  <dataValidations count="1">
    <dataValidation type="list" allowBlank="1" showInputMessage="1" showErrorMessage="1" sqref="K252">
      <formula1>$AJ$7:$AN$7</formula1>
    </dataValidation>
  </dataValidations>
  <pageMargins left="0.23622047244094491" right="0.23622047244094491" top="0.74803149606299213" bottom="0.74803149606299213" header="0.31496062992125984" footer="0.31496062992125984"/>
  <pageSetup paperSize="9" orientation="landscape" r:id="rId1"/>
  <headerFooter>
    <oddFooter>&amp;A&amp;RPage &amp;P</oddFooter>
  </headerFooter>
  <rowBreaks count="11" manualBreakCount="11">
    <brk id="16" max="16383" man="1"/>
    <brk id="36" max="16383" man="1"/>
    <brk id="61" max="16383" man="1"/>
    <brk id="86" max="16383" man="1"/>
    <brk id="106" max="16383" man="1"/>
    <brk id="120" max="16383" man="1"/>
    <brk id="186" max="16383" man="1"/>
    <brk id="203" max="16383" man="1"/>
    <brk id="222" max="16383" man="1"/>
    <brk id="253" max="16383" man="1"/>
    <brk id="27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499984740745262"/>
  </sheetPr>
  <dimension ref="A1:G22"/>
  <sheetViews>
    <sheetView zoomScaleNormal="100" workbookViewId="0"/>
  </sheetViews>
  <sheetFormatPr defaultRowHeight="12.75" x14ac:dyDescent="0.2"/>
  <cols>
    <col min="1" max="1" width="54" customWidth="1"/>
    <col min="2" max="2" width="4.28515625" customWidth="1"/>
    <col min="3" max="3" width="18.28515625" customWidth="1"/>
    <col min="4" max="4" width="23.28515625" customWidth="1"/>
    <col min="5" max="5" width="12.28515625" customWidth="1"/>
    <col min="6" max="6" width="1.7109375" customWidth="1"/>
    <col min="7" max="7" width="2" customWidth="1"/>
    <col min="12" max="12" width="13" customWidth="1"/>
  </cols>
  <sheetData>
    <row r="1" spans="1:7" ht="14.25" x14ac:dyDescent="0.2">
      <c r="A1" s="93" t="str">
        <f>IF(OR(ISBLANK(C9),C9="-"),"&lt;IAIG's Name&gt;",C9)</f>
        <v>&lt;IAIG's Name&gt;</v>
      </c>
      <c r="B1" s="94"/>
      <c r="C1" s="94"/>
      <c r="D1" s="94"/>
      <c r="E1" s="95" t="str">
        <f ca="1">HYPERLINK("#"&amp;CELL("address",FT15.IndexSheet),Version)</f>
        <v>2015 IAIS Field Testing Template</v>
      </c>
      <c r="G1" s="96" t="s">
        <v>87</v>
      </c>
    </row>
    <row r="2" spans="1:7" ht="15" x14ac:dyDescent="0.25">
      <c r="A2" s="97" t="str">
        <f>IF(ISBLANK(C14),"&lt;Currency&gt;",C14)&amp;" - ("&amp;IF(ISBLANK(C15),"&lt;Unit&gt;",C15)&amp;")"</f>
        <v>&lt;Currency&gt; - (&lt;Unit&gt;)</v>
      </c>
      <c r="B2" s="98" t="s">
        <v>17</v>
      </c>
      <c r="C2" s="99"/>
      <c r="D2" s="99"/>
      <c r="E2" s="100" t="str">
        <f>IF(ISBLANK(C11),"&lt;Reporting Date&gt;","Year "&amp;YEAR(C11))&amp;IF(C12&lt;&gt;"-"," - "&amp;C12,"")&amp;IF(SUM(C13)&gt;1," - v"&amp;C13,"")</f>
        <v xml:space="preserve">&lt;Reporting Date&gt; - </v>
      </c>
      <c r="G2" s="96" t="s">
        <v>87</v>
      </c>
    </row>
    <row r="3" spans="1:7" ht="14.25" x14ac:dyDescent="0.2">
      <c r="G3" s="96" t="s">
        <v>87</v>
      </c>
    </row>
    <row r="4" spans="1:7" ht="14.25" x14ac:dyDescent="0.2">
      <c r="G4" s="96" t="s">
        <v>87</v>
      </c>
    </row>
    <row r="5" spans="1:7" ht="14.25" x14ac:dyDescent="0.2">
      <c r="G5" s="96" t="s">
        <v>87</v>
      </c>
    </row>
    <row r="6" spans="1:7" ht="14.25" x14ac:dyDescent="0.2">
      <c r="G6" s="96" t="s">
        <v>87</v>
      </c>
    </row>
    <row r="7" spans="1:7" ht="14.25" x14ac:dyDescent="0.2">
      <c r="A7" s="93" t="s">
        <v>88</v>
      </c>
      <c r="B7" s="101"/>
      <c r="C7" s="101"/>
      <c r="D7" s="102"/>
      <c r="G7" s="96" t="s">
        <v>87</v>
      </c>
    </row>
    <row r="8" spans="1:7" ht="14.25" x14ac:dyDescent="0.2">
      <c r="A8" s="103"/>
      <c r="B8" s="104">
        <v>1</v>
      </c>
      <c r="C8" s="105">
        <v>1</v>
      </c>
      <c r="D8" s="106"/>
      <c r="G8" s="96" t="s">
        <v>87</v>
      </c>
    </row>
    <row r="9" spans="1:7" ht="14.25" x14ac:dyDescent="0.2">
      <c r="A9" s="107" t="s">
        <v>89</v>
      </c>
      <c r="B9" s="108">
        <v>1</v>
      </c>
      <c r="C9" s="1406" t="s">
        <v>90</v>
      </c>
      <c r="D9" s="1407"/>
      <c r="G9" s="96" t="s">
        <v>87</v>
      </c>
    </row>
    <row r="10" spans="1:7" ht="14.25" x14ac:dyDescent="0.2">
      <c r="A10" s="109" t="s">
        <v>91</v>
      </c>
      <c r="B10" s="108">
        <v>2</v>
      </c>
      <c r="C10" s="110"/>
      <c r="D10" s="111"/>
      <c r="G10" s="96" t="s">
        <v>87</v>
      </c>
    </row>
    <row r="11" spans="1:7" ht="14.25" x14ac:dyDescent="0.2">
      <c r="A11" s="112" t="s">
        <v>92</v>
      </c>
      <c r="B11" s="108">
        <v>3</v>
      </c>
      <c r="C11" s="113"/>
      <c r="D11" s="111"/>
      <c r="G11" s="96" t="s">
        <v>87</v>
      </c>
    </row>
    <row r="12" spans="1:7" ht="14.25" x14ac:dyDescent="0.2">
      <c r="A12" s="112" t="s">
        <v>93</v>
      </c>
      <c r="B12" s="108">
        <v>4</v>
      </c>
      <c r="C12" s="114"/>
      <c r="D12" s="111"/>
      <c r="G12" s="96" t="s">
        <v>87</v>
      </c>
    </row>
    <row r="13" spans="1:7" ht="14.25" x14ac:dyDescent="0.2">
      <c r="A13" s="115" t="s">
        <v>94</v>
      </c>
      <c r="B13" s="108">
        <v>5</v>
      </c>
      <c r="C13" s="116">
        <v>1</v>
      </c>
      <c r="D13" s="111"/>
      <c r="G13" s="96" t="s">
        <v>87</v>
      </c>
    </row>
    <row r="14" spans="1:7" ht="14.25" x14ac:dyDescent="0.2">
      <c r="A14" s="109" t="s">
        <v>95</v>
      </c>
      <c r="B14" s="108">
        <v>6</v>
      </c>
      <c r="C14" s="114"/>
      <c r="D14" s="111"/>
      <c r="G14" s="96" t="s">
        <v>87</v>
      </c>
    </row>
    <row r="15" spans="1:7" ht="14.25" x14ac:dyDescent="0.2">
      <c r="A15" s="109" t="s">
        <v>96</v>
      </c>
      <c r="B15" s="108">
        <v>7</v>
      </c>
      <c r="C15" s="117"/>
      <c r="D15" s="111"/>
      <c r="G15" s="96" t="s">
        <v>87</v>
      </c>
    </row>
    <row r="16" spans="1:7" ht="14.25" x14ac:dyDescent="0.2">
      <c r="A16" s="109" t="s">
        <v>97</v>
      </c>
      <c r="B16" s="108">
        <v>8</v>
      </c>
      <c r="C16" s="1406" t="s">
        <v>90</v>
      </c>
      <c r="D16" s="1407"/>
      <c r="G16" s="96" t="s">
        <v>87</v>
      </c>
    </row>
    <row r="17" spans="1:7" ht="14.25" x14ac:dyDescent="0.2">
      <c r="A17" s="109" t="s">
        <v>98</v>
      </c>
      <c r="B17" s="108">
        <v>9</v>
      </c>
      <c r="C17" s="1406" t="s">
        <v>90</v>
      </c>
      <c r="D17" s="1407"/>
      <c r="G17" s="96" t="s">
        <v>87</v>
      </c>
    </row>
    <row r="18" spans="1:7" ht="14.25" x14ac:dyDescent="0.2">
      <c r="A18" s="109" t="s">
        <v>99</v>
      </c>
      <c r="B18" s="108">
        <v>10</v>
      </c>
      <c r="C18" s="1406" t="s">
        <v>90</v>
      </c>
      <c r="D18" s="1407"/>
      <c r="G18" s="96" t="s">
        <v>87</v>
      </c>
    </row>
    <row r="19" spans="1:7" ht="14.25" x14ac:dyDescent="0.2">
      <c r="A19" s="109" t="s">
        <v>100</v>
      </c>
      <c r="B19" s="108">
        <v>11</v>
      </c>
      <c r="C19" s="1406" t="s">
        <v>90</v>
      </c>
      <c r="D19" s="1407"/>
      <c r="G19" s="96" t="s">
        <v>87</v>
      </c>
    </row>
    <row r="20" spans="1:7" ht="14.25" x14ac:dyDescent="0.2">
      <c r="A20" s="118" t="s">
        <v>101</v>
      </c>
      <c r="B20" s="119">
        <v>12</v>
      </c>
      <c r="C20" s="1406" t="s">
        <v>90</v>
      </c>
      <c r="D20" s="1407"/>
      <c r="G20" s="96" t="s">
        <v>87</v>
      </c>
    </row>
    <row r="21" spans="1:7" ht="12.95" customHeight="1" x14ac:dyDescent="0.2">
      <c r="G21" s="96" t="s">
        <v>87</v>
      </c>
    </row>
    <row r="22" spans="1:7" ht="14.25" x14ac:dyDescent="0.2">
      <c r="A22" s="96" t="s">
        <v>87</v>
      </c>
      <c r="B22" s="96" t="s">
        <v>87</v>
      </c>
      <c r="C22" s="96" t="s">
        <v>87</v>
      </c>
      <c r="D22" s="96" t="s">
        <v>87</v>
      </c>
      <c r="E22" s="96" t="s">
        <v>87</v>
      </c>
      <c r="F22" s="96" t="s">
        <v>87</v>
      </c>
      <c r="G22" s="96" t="s">
        <v>87</v>
      </c>
    </row>
  </sheetData>
  <mergeCells count="6">
    <mergeCell ref="C20:D20"/>
    <mergeCell ref="C9:D9"/>
    <mergeCell ref="C16:D16"/>
    <mergeCell ref="C17:D17"/>
    <mergeCell ref="C18:D18"/>
    <mergeCell ref="C19:D19"/>
  </mergeCells>
  <dataValidations count="3">
    <dataValidation type="list" allowBlank="1" showInputMessage="1" showErrorMessage="1" sqref="C12">
      <formula1>FT15.ReportingPhases</formula1>
    </dataValidation>
    <dataValidation type="list" allowBlank="1" showInputMessage="1" showErrorMessage="1" sqref="C15">
      <formula1>FT15.ReportingUnits</formula1>
    </dataValidation>
    <dataValidation type="list" allowBlank="1" showInputMessage="1" showErrorMessage="1" sqref="C14">
      <formula1>FT15.SpecificCurrencies</formula1>
    </dataValidation>
  </dataValidations>
  <printOptions horizontalCentered="1"/>
  <pageMargins left="0.70866141732283472" right="0.70866141732283472" top="0.74803149606299213" bottom="0.74803149606299213" header="0.31496062992125984" footer="0.31496062992125984"/>
  <pageSetup paperSize="9" orientation="landscape" r:id="rId1"/>
  <headerFooter>
    <oddHeader>&amp;RRestricted</oddHeader>
    <oddFooter>&amp;L&amp;F&amp;C&amp;A&amp;RPage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5" tint="-0.249977111117893"/>
  </sheetPr>
  <dimension ref="A1:P16"/>
  <sheetViews>
    <sheetView showGridLines="0" zoomScaleNormal="100" workbookViewId="0">
      <selection activeCell="A15" sqref="A15"/>
    </sheetView>
  </sheetViews>
  <sheetFormatPr defaultRowHeight="12.75" x14ac:dyDescent="0.2"/>
  <cols>
    <col min="1" max="1" width="30.7109375" customWidth="1"/>
    <col min="2" max="2" width="4" customWidth="1"/>
    <col min="3" max="3" width="9.42578125" customWidth="1"/>
    <col min="4" max="11" width="8.7109375" customWidth="1"/>
    <col min="12" max="14" width="5.7109375" customWidth="1"/>
    <col min="15" max="15" width="0.85546875" customWidth="1"/>
    <col min="16" max="16" width="2" customWidth="1"/>
    <col min="17" max="17" width="3.85546875" customWidth="1"/>
    <col min="18" max="18" width="19.7109375" customWidth="1"/>
    <col min="19" max="19" width="2.7109375" bestFit="1" customWidth="1"/>
    <col min="20" max="24" width="9.85546875" customWidth="1"/>
  </cols>
  <sheetData>
    <row r="1" spans="1:16" x14ac:dyDescent="0.2">
      <c r="A1" s="93" t="str">
        <f>FT15.Participant!$A$1</f>
        <v>&lt;IAIG's Name&gt;</v>
      </c>
      <c r="B1" s="94"/>
      <c r="C1" s="94"/>
      <c r="D1" s="94"/>
      <c r="E1" s="94"/>
      <c r="F1" s="94"/>
      <c r="G1" s="94"/>
      <c r="H1" s="94"/>
      <c r="I1" s="94"/>
      <c r="J1" s="94"/>
      <c r="K1" s="94"/>
      <c r="L1" s="94"/>
      <c r="M1" s="94"/>
      <c r="N1" s="95" t="str">
        <f ca="1">HYPERLINK("#"&amp;CELL("address",FT15.IndexSheet),Version)</f>
        <v>2015 IAIS Field Testing Template</v>
      </c>
      <c r="P1" s="699" t="s">
        <v>87</v>
      </c>
    </row>
    <row r="2" spans="1:16" ht="15" x14ac:dyDescent="0.25">
      <c r="A2" s="97" t="str">
        <f>FT15.Participant!$A$2</f>
        <v>&lt;Currency&gt; - (&lt;Unit&gt;)</v>
      </c>
      <c r="B2" s="98" t="s">
        <v>1555</v>
      </c>
      <c r="C2" s="99"/>
      <c r="D2" s="99"/>
      <c r="E2" s="99"/>
      <c r="F2" s="99"/>
      <c r="G2" s="99"/>
      <c r="H2" s="99"/>
      <c r="I2" s="99"/>
      <c r="J2" s="99"/>
      <c r="K2" s="99"/>
      <c r="L2" s="99"/>
      <c r="M2" s="99"/>
      <c r="N2" s="100" t="str">
        <f>FT15.Participant!$E$2</f>
        <v xml:space="preserve">&lt;Reporting Date&gt; - </v>
      </c>
      <c r="P2" s="699" t="s">
        <v>87</v>
      </c>
    </row>
    <row r="3" spans="1:16" x14ac:dyDescent="0.2">
      <c r="P3" s="699" t="s">
        <v>87</v>
      </c>
    </row>
    <row r="4" spans="1:16" x14ac:dyDescent="0.2">
      <c r="P4" s="699" t="s">
        <v>87</v>
      </c>
    </row>
    <row r="5" spans="1:16" ht="14.25" x14ac:dyDescent="0.2">
      <c r="A5" s="707"/>
      <c r="B5" s="764"/>
      <c r="C5" s="864" t="s">
        <v>1016</v>
      </c>
      <c r="F5" s="328" t="s">
        <v>1017</v>
      </c>
      <c r="G5" s="331"/>
      <c r="P5" s="699" t="s">
        <v>87</v>
      </c>
    </row>
    <row r="6" spans="1:16" ht="63.75" x14ac:dyDescent="0.2">
      <c r="A6" s="865" t="s">
        <v>1018</v>
      </c>
      <c r="B6" s="866"/>
      <c r="C6" s="278" t="s">
        <v>1019</v>
      </c>
      <c r="D6" s="278" t="s">
        <v>1020</v>
      </c>
      <c r="E6" s="278" t="s">
        <v>990</v>
      </c>
      <c r="F6" s="278" t="s">
        <v>691</v>
      </c>
      <c r="G6" s="278" t="s">
        <v>690</v>
      </c>
      <c r="P6" s="699" t="s">
        <v>87</v>
      </c>
    </row>
    <row r="7" spans="1:16" ht="14.25" x14ac:dyDescent="0.2">
      <c r="A7" s="662"/>
      <c r="B7" s="104">
        <v>167</v>
      </c>
      <c r="C7" s="105">
        <v>1</v>
      </c>
      <c r="D7" s="105">
        <v>2</v>
      </c>
      <c r="E7" s="105">
        <v>3</v>
      </c>
      <c r="F7" s="167" t="s">
        <v>1021</v>
      </c>
      <c r="G7" s="214" t="s">
        <v>1022</v>
      </c>
      <c r="P7" s="699" t="s">
        <v>87</v>
      </c>
    </row>
    <row r="8" spans="1:16" ht="14.25" x14ac:dyDescent="0.2">
      <c r="A8" s="867" t="s">
        <v>1023</v>
      </c>
      <c r="B8" s="108">
        <v>1</v>
      </c>
      <c r="C8" s="868"/>
      <c r="D8" s="869"/>
      <c r="E8" s="565" t="str">
        <f>IF(OR(G8&lt;&gt;"-",F8&lt;&gt;"-"),SUM(G8)-SUM(F8),"-")</f>
        <v>-</v>
      </c>
      <c r="F8" s="565" t="str">
        <f>IF(COUNTIF(F9:F14,"-")&lt;COUNTA(F9:F14),SUM(F9:F14),"-")</f>
        <v>-</v>
      </c>
      <c r="G8" s="565" t="str">
        <f>IF(COUNTIF(G9:G14,"-")&lt;COUNTA(G9:G14),SUM(G9:G14),"-")</f>
        <v>-</v>
      </c>
      <c r="P8" s="699" t="s">
        <v>87</v>
      </c>
    </row>
    <row r="9" spans="1:16" ht="14.25" x14ac:dyDescent="0.2">
      <c r="A9" s="738" t="s">
        <v>721</v>
      </c>
      <c r="B9" s="108">
        <v>2</v>
      </c>
      <c r="C9" s="149" t="s">
        <v>90</v>
      </c>
      <c r="D9" s="149" t="s">
        <v>90</v>
      </c>
      <c r="E9" s="149" t="s">
        <v>90</v>
      </c>
      <c r="F9" s="282" t="str">
        <f>IF(OR(C9&lt;&gt;"-",D9&lt;&gt;"-",E9&lt;&gt;"-"),MAX(0,SUM(C9)-SUM(D9)-SUM(E9)),"-")</f>
        <v>-</v>
      </c>
      <c r="G9" s="282" t="str">
        <f>IF(OR(C9&lt;&gt;"-",D9&lt;&gt;"-"),MAX(0,SUM(C9)-SUM(D9)),"-")</f>
        <v>-</v>
      </c>
      <c r="P9" s="699" t="s">
        <v>87</v>
      </c>
    </row>
    <row r="10" spans="1:16" ht="14.25" x14ac:dyDescent="0.2">
      <c r="A10" s="738" t="s">
        <v>722</v>
      </c>
      <c r="B10" s="108">
        <v>3</v>
      </c>
      <c r="C10" s="137" t="s">
        <v>90</v>
      </c>
      <c r="D10" s="137" t="s">
        <v>90</v>
      </c>
      <c r="E10" s="137" t="s">
        <v>90</v>
      </c>
      <c r="F10" s="285" t="str">
        <f t="shared" ref="F10:F14" si="0">IF(OR(C10&lt;&gt;"-",D10&lt;&gt;"-",E10&lt;&gt;"-"),MAX(0,SUM(C10)-SUM(D10)-SUM(E10)),"-")</f>
        <v>-</v>
      </c>
      <c r="G10" s="285" t="str">
        <f t="shared" ref="G10:G14" si="1">IF(OR(C10&lt;&gt;"-",D10&lt;&gt;"-"),MAX(0,SUM(C10)-SUM(D10)),"-")</f>
        <v>-</v>
      </c>
      <c r="P10" s="699" t="s">
        <v>87</v>
      </c>
    </row>
    <row r="11" spans="1:16" ht="14.25" x14ac:dyDescent="0.2">
      <c r="A11" s="738" t="s">
        <v>723</v>
      </c>
      <c r="B11" s="108">
        <v>4</v>
      </c>
      <c r="C11" s="137" t="s">
        <v>90</v>
      </c>
      <c r="D11" s="137" t="s">
        <v>90</v>
      </c>
      <c r="E11" s="137" t="s">
        <v>90</v>
      </c>
      <c r="F11" s="285" t="str">
        <f t="shared" si="0"/>
        <v>-</v>
      </c>
      <c r="G11" s="285" t="str">
        <f t="shared" si="1"/>
        <v>-</v>
      </c>
      <c r="P11" s="699" t="s">
        <v>87</v>
      </c>
    </row>
    <row r="12" spans="1:16" ht="14.25" x14ac:dyDescent="0.2">
      <c r="A12" s="738" t="s">
        <v>724</v>
      </c>
      <c r="B12" s="108">
        <v>5</v>
      </c>
      <c r="C12" s="137" t="s">
        <v>90</v>
      </c>
      <c r="D12" s="137" t="s">
        <v>90</v>
      </c>
      <c r="E12" s="137" t="s">
        <v>90</v>
      </c>
      <c r="F12" s="285" t="str">
        <f t="shared" si="0"/>
        <v>-</v>
      </c>
      <c r="G12" s="285" t="str">
        <f t="shared" si="1"/>
        <v>-</v>
      </c>
      <c r="P12" s="699" t="s">
        <v>87</v>
      </c>
    </row>
    <row r="13" spans="1:16" ht="14.25" x14ac:dyDescent="0.2">
      <c r="A13" s="738" t="s">
        <v>725</v>
      </c>
      <c r="B13" s="108">
        <v>6</v>
      </c>
      <c r="C13" s="137" t="s">
        <v>90</v>
      </c>
      <c r="D13" s="137" t="s">
        <v>90</v>
      </c>
      <c r="E13" s="137" t="s">
        <v>90</v>
      </c>
      <c r="F13" s="285" t="str">
        <f t="shared" si="0"/>
        <v>-</v>
      </c>
      <c r="G13" s="285" t="str">
        <f t="shared" si="1"/>
        <v>-</v>
      </c>
      <c r="P13" s="699" t="s">
        <v>87</v>
      </c>
    </row>
    <row r="14" spans="1:16" ht="14.25" x14ac:dyDescent="0.2">
      <c r="A14" s="755" t="s">
        <v>726</v>
      </c>
      <c r="B14" s="119">
        <v>7</v>
      </c>
      <c r="C14" s="139" t="s">
        <v>90</v>
      </c>
      <c r="D14" s="139" t="s">
        <v>90</v>
      </c>
      <c r="E14" s="139" t="s">
        <v>90</v>
      </c>
      <c r="F14" s="153" t="str">
        <f t="shared" si="0"/>
        <v>-</v>
      </c>
      <c r="G14" s="153" t="str">
        <f t="shared" si="1"/>
        <v>-</v>
      </c>
      <c r="P14" s="699" t="s">
        <v>87</v>
      </c>
    </row>
    <row r="15" spans="1:16" x14ac:dyDescent="0.2">
      <c r="C15" s="148"/>
      <c r="D15" s="148"/>
      <c r="E15" s="148"/>
      <c r="F15" s="148"/>
      <c r="G15" s="148"/>
      <c r="I15" s="148"/>
      <c r="J15" s="148"/>
      <c r="P15" s="699" t="s">
        <v>87</v>
      </c>
    </row>
    <row r="16" spans="1:16" ht="14.25" x14ac:dyDescent="0.2">
      <c r="A16" s="96" t="s">
        <v>87</v>
      </c>
      <c r="B16" s="96" t="s">
        <v>87</v>
      </c>
      <c r="C16" s="96" t="s">
        <v>87</v>
      </c>
      <c r="D16" s="96" t="s">
        <v>87</v>
      </c>
      <c r="E16" s="96" t="s">
        <v>87</v>
      </c>
      <c r="F16" s="96" t="s">
        <v>87</v>
      </c>
      <c r="G16" s="96" t="s">
        <v>87</v>
      </c>
      <c r="H16" s="96" t="s">
        <v>87</v>
      </c>
      <c r="I16" s="96" t="s">
        <v>87</v>
      </c>
      <c r="J16" s="96" t="s">
        <v>87</v>
      </c>
      <c r="K16" s="96" t="s">
        <v>87</v>
      </c>
      <c r="L16" s="96" t="s">
        <v>87</v>
      </c>
      <c r="M16" s="96" t="s">
        <v>87</v>
      </c>
      <c r="N16" s="96" t="s">
        <v>87</v>
      </c>
      <c r="O16" s="96" t="s">
        <v>87</v>
      </c>
      <c r="P16" s="699" t="s">
        <v>87</v>
      </c>
    </row>
  </sheetData>
  <sheetProtection formatCells="0" formatColumns="0" formatRows="0"/>
  <pageMargins left="0.70866141732283472" right="0.70866141732283472" top="0.74803149606299213" bottom="0.74803149606299213" header="0.31496062992125984" footer="0.31496062992125984"/>
  <pageSetup paperSize="9" orientation="landscape" r:id="rId1"/>
  <headerFooter>
    <oddFooter>&amp;A&amp;RPage &amp;P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5" tint="-0.249977111117893"/>
  </sheetPr>
  <dimension ref="A1:N49"/>
  <sheetViews>
    <sheetView zoomScaleNormal="100" zoomScalePageLayoutView="70" workbookViewId="0">
      <selection activeCell="A4" sqref="A4"/>
    </sheetView>
  </sheetViews>
  <sheetFormatPr defaultRowHeight="12.75" x14ac:dyDescent="0.2"/>
  <cols>
    <col min="1" max="1" width="54" customWidth="1"/>
    <col min="2" max="2" width="3.7109375" customWidth="1"/>
    <col min="3" max="8" width="9.7109375" customWidth="1"/>
    <col min="9" max="9" width="10.85546875" customWidth="1"/>
    <col min="10" max="10" width="9.7109375" customWidth="1"/>
    <col min="11" max="11" width="0.85546875" customWidth="1"/>
    <col min="12" max="12" width="2" customWidth="1"/>
  </cols>
  <sheetData>
    <row r="1" spans="1:14" ht="14.25" x14ac:dyDescent="0.2">
      <c r="A1" s="93" t="str">
        <f>FT15.Participant!$A$1</f>
        <v>&lt;IAIG's Name&gt;</v>
      </c>
      <c r="B1" s="94"/>
      <c r="C1" s="94"/>
      <c r="D1" s="94"/>
      <c r="E1" s="94"/>
      <c r="F1" s="94"/>
      <c r="G1" s="94"/>
      <c r="H1" s="94"/>
      <c r="I1" s="94"/>
      <c r="J1" s="95" t="str">
        <f ca="1">HYPERLINK("#"&amp;CELL("address",FT15.IndexSheet),Version)</f>
        <v>2015 IAIS Field Testing Template</v>
      </c>
      <c r="L1" s="96" t="s">
        <v>87</v>
      </c>
      <c r="N1" s="914" t="s">
        <v>1076</v>
      </c>
    </row>
    <row r="2" spans="1:14" ht="15" x14ac:dyDescent="0.25">
      <c r="A2" s="97" t="str">
        <f>FT15.Participant!$A$2</f>
        <v>&lt;Currency&gt; - (&lt;Unit&gt;)</v>
      </c>
      <c r="B2" s="98" t="s">
        <v>1556</v>
      </c>
      <c r="C2" s="99"/>
      <c r="D2" s="99"/>
      <c r="E2" s="99"/>
      <c r="F2" s="99"/>
      <c r="G2" s="99"/>
      <c r="H2" s="99"/>
      <c r="I2" s="99"/>
      <c r="J2" s="100" t="str">
        <f>FT15.Participant!$E$2</f>
        <v xml:space="preserve">&lt;Reporting Date&gt; - </v>
      </c>
      <c r="L2" s="96" t="s">
        <v>87</v>
      </c>
      <c r="N2" s="917" t="s">
        <v>1077</v>
      </c>
    </row>
    <row r="3" spans="1:14" ht="14.25" x14ac:dyDescent="0.2">
      <c r="L3" s="96" t="s">
        <v>87</v>
      </c>
      <c r="N3" s="918" t="s">
        <v>1078</v>
      </c>
    </row>
    <row r="4" spans="1:14" ht="51" x14ac:dyDescent="0.25">
      <c r="A4" s="653" t="s">
        <v>1079</v>
      </c>
      <c r="B4" s="708"/>
      <c r="C4" s="278" t="s">
        <v>690</v>
      </c>
      <c r="D4" s="278" t="s">
        <v>691</v>
      </c>
      <c r="E4" s="904" t="s">
        <v>1062</v>
      </c>
      <c r="L4" s="96" t="s">
        <v>87</v>
      </c>
    </row>
    <row r="5" spans="1:14" ht="14.25" x14ac:dyDescent="0.2">
      <c r="A5" s="720"/>
      <c r="B5" s="104">
        <v>168</v>
      </c>
      <c r="C5" s="105">
        <v>1</v>
      </c>
      <c r="D5" s="105">
        <v>2</v>
      </c>
      <c r="E5" s="106">
        <v>3</v>
      </c>
      <c r="L5" s="96" t="s">
        <v>87</v>
      </c>
    </row>
    <row r="6" spans="1:14" ht="14.25" x14ac:dyDescent="0.2">
      <c r="A6" s="150" t="s">
        <v>1080</v>
      </c>
      <c r="B6" s="261">
        <v>1</v>
      </c>
      <c r="C6" s="219" t="str">
        <f>IF(E6&lt;&gt;"-",INDEX(H13:J13,MATCH(E6,$N$1:$N$3,0)),"-")</f>
        <v>-</v>
      </c>
      <c r="D6" s="219" t="str">
        <f>IF(E6&lt;&gt;"-",INDEX(H12:J12,MATCH(E6,$N$1:$N$3,0)),"-")</f>
        <v>-</v>
      </c>
      <c r="E6" s="921" t="str">
        <f>IF(OR(H12&gt;0,I12&gt;0,J12&gt;0),INDEX(N1:N3,MATCH(MAX(H12:J12),H12:J12,0) ),"-")</f>
        <v>-</v>
      </c>
      <c r="L6" s="96" t="s">
        <v>87</v>
      </c>
    </row>
    <row r="7" spans="1:14" ht="14.25" x14ac:dyDescent="0.2">
      <c r="L7" s="96" t="s">
        <v>87</v>
      </c>
    </row>
    <row r="8" spans="1:14" ht="38.25" x14ac:dyDescent="0.2">
      <c r="C8" s="922" t="s">
        <v>1081</v>
      </c>
      <c r="H8" s="923" t="s">
        <v>1082</v>
      </c>
      <c r="I8" s="923" t="s">
        <v>1083</v>
      </c>
      <c r="J8" s="923" t="s">
        <v>1084</v>
      </c>
      <c r="L8" s="96" t="s">
        <v>87</v>
      </c>
    </row>
    <row r="9" spans="1:14" ht="14.25" x14ac:dyDescent="0.2">
      <c r="B9" s="124">
        <v>169</v>
      </c>
      <c r="C9" s="105">
        <v>1</v>
      </c>
      <c r="D9" s="105"/>
      <c r="E9" s="105"/>
      <c r="F9" s="105"/>
      <c r="G9" s="105"/>
      <c r="H9" s="105">
        <v>6</v>
      </c>
      <c r="I9" s="105">
        <v>7</v>
      </c>
      <c r="J9" s="106">
        <v>8</v>
      </c>
      <c r="L9" s="96" t="s">
        <v>87</v>
      </c>
    </row>
    <row r="10" spans="1:14" ht="14.25" x14ac:dyDescent="0.2">
      <c r="A10" s="924" t="s">
        <v>1085</v>
      </c>
      <c r="B10" s="169">
        <v>1</v>
      </c>
      <c r="C10" s="282">
        <f>SUM(C18:C25)-SUM(C30:C39,C42:C47)</f>
        <v>0</v>
      </c>
      <c r="D10" s="225"/>
      <c r="E10" s="225"/>
      <c r="F10" s="225"/>
      <c r="G10" s="225"/>
      <c r="H10" s="282">
        <f>SUM(H18:H25)-SUM(H30:H39,H42:H47)</f>
        <v>0</v>
      </c>
      <c r="I10" s="282">
        <f t="shared" ref="I10:J10" si="0">SUM(I18:I25)-SUM(I30:I39,I42:I47)</f>
        <v>0</v>
      </c>
      <c r="J10" s="282">
        <f t="shared" si="0"/>
        <v>0</v>
      </c>
      <c r="L10" s="96" t="s">
        <v>87</v>
      </c>
    </row>
    <row r="11" spans="1:14" ht="14.25" x14ac:dyDescent="0.2">
      <c r="A11" s="925" t="s">
        <v>1086</v>
      </c>
      <c r="B11" s="234">
        <v>2</v>
      </c>
      <c r="C11" s="289"/>
      <c r="D11" s="230"/>
      <c r="E11" s="230"/>
      <c r="F11" s="230"/>
      <c r="G11" s="230"/>
      <c r="H11" s="137" t="s">
        <v>90</v>
      </c>
      <c r="I11" s="137" t="s">
        <v>90</v>
      </c>
      <c r="J11" s="137" t="s">
        <v>90</v>
      </c>
      <c r="L11" s="96" t="s">
        <v>87</v>
      </c>
    </row>
    <row r="12" spans="1:14" ht="14.25" x14ac:dyDescent="0.2">
      <c r="A12" s="146" t="s">
        <v>1087</v>
      </c>
      <c r="B12" s="234">
        <v>3</v>
      </c>
      <c r="C12" s="289"/>
      <c r="D12" s="230"/>
      <c r="E12" s="230"/>
      <c r="F12" s="230"/>
      <c r="G12" s="230"/>
      <c r="H12" s="285">
        <f>MAX(0,$C10-H10)</f>
        <v>0</v>
      </c>
      <c r="I12" s="285">
        <f>MAX(0,$C10-I10)</f>
        <v>0</v>
      </c>
      <c r="J12" s="285">
        <f>MAX(0,$C10-J10)</f>
        <v>0</v>
      </c>
      <c r="L12" s="96" t="s">
        <v>87</v>
      </c>
    </row>
    <row r="13" spans="1:14" ht="14.25" x14ac:dyDescent="0.2">
      <c r="A13" s="150" t="s">
        <v>1088</v>
      </c>
      <c r="B13" s="261">
        <v>4</v>
      </c>
      <c r="C13" s="293"/>
      <c r="D13" s="323"/>
      <c r="E13" s="323"/>
      <c r="F13" s="323"/>
      <c r="G13" s="323"/>
      <c r="H13" s="153">
        <f>MAX(0,$C$10-SUM(H11))</f>
        <v>0</v>
      </c>
      <c r="I13" s="153">
        <f>MAX(0,$C$10-SUM(I11))</f>
        <v>0</v>
      </c>
      <c r="J13" s="153">
        <f>MAX(0,$C$10-SUM(J11))</f>
        <v>0</v>
      </c>
      <c r="L13" s="96" t="s">
        <v>87</v>
      </c>
    </row>
    <row r="14" spans="1:14" ht="14.25" x14ac:dyDescent="0.2">
      <c r="L14" s="96" t="s">
        <v>87</v>
      </c>
    </row>
    <row r="15" spans="1:14" ht="14.25" x14ac:dyDescent="0.2">
      <c r="A15" s="93"/>
      <c r="B15" s="207"/>
      <c r="C15" s="1438" t="s">
        <v>1089</v>
      </c>
      <c r="D15" s="926" t="s">
        <v>1090</v>
      </c>
      <c r="E15" s="712"/>
      <c r="F15" s="712"/>
      <c r="G15" s="713"/>
      <c r="H15" s="1421" t="s">
        <v>1091</v>
      </c>
      <c r="I15" s="1421" t="s">
        <v>1092</v>
      </c>
      <c r="J15" s="1421" t="s">
        <v>1093</v>
      </c>
      <c r="L15" s="96" t="s">
        <v>87</v>
      </c>
    </row>
    <row r="16" spans="1:14" s="929" customFormat="1" ht="66" customHeight="1" x14ac:dyDescent="0.2">
      <c r="A16" s="927" t="s">
        <v>1094</v>
      </c>
      <c r="B16" s="928"/>
      <c r="C16" s="1431"/>
      <c r="D16" s="278" t="s">
        <v>1095</v>
      </c>
      <c r="E16" s="278" t="s">
        <v>1096</v>
      </c>
      <c r="F16" s="278" t="s">
        <v>1097</v>
      </c>
      <c r="G16" s="278" t="s">
        <v>1098</v>
      </c>
      <c r="H16" s="1423"/>
      <c r="I16" s="1423"/>
      <c r="J16" s="1423"/>
      <c r="L16" s="96" t="s">
        <v>87</v>
      </c>
    </row>
    <row r="17" spans="1:14" s="929" customFormat="1" ht="15" x14ac:dyDescent="0.2">
      <c r="A17" s="930"/>
      <c r="B17" s="931">
        <v>170</v>
      </c>
      <c r="C17" s="105">
        <v>1</v>
      </c>
      <c r="D17" s="105">
        <v>2</v>
      </c>
      <c r="E17" s="105">
        <v>3</v>
      </c>
      <c r="F17" s="105">
        <v>4</v>
      </c>
      <c r="G17" s="105">
        <v>5</v>
      </c>
      <c r="H17" s="105">
        <v>6</v>
      </c>
      <c r="I17" s="105">
        <v>7</v>
      </c>
      <c r="J17" s="106">
        <v>8</v>
      </c>
      <c r="L17" s="96" t="s">
        <v>87</v>
      </c>
    </row>
    <row r="18" spans="1:14" ht="14.25" x14ac:dyDescent="0.2">
      <c r="A18" s="109" t="s">
        <v>906</v>
      </c>
      <c r="B18" s="234">
        <v>1</v>
      </c>
      <c r="C18" s="281">
        <f>SUM('ICS.Balance sheet'!K13:K19)</f>
        <v>0</v>
      </c>
      <c r="D18" s="149" t="s">
        <v>90</v>
      </c>
      <c r="E18" s="149" t="s">
        <v>90</v>
      </c>
      <c r="F18" s="149" t="s">
        <v>90</v>
      </c>
      <c r="G18" s="149" t="s">
        <v>90</v>
      </c>
      <c r="H18" s="149" t="s">
        <v>90</v>
      </c>
      <c r="I18" s="149" t="s">
        <v>90</v>
      </c>
      <c r="J18" s="149" t="s">
        <v>90</v>
      </c>
      <c r="L18" s="96" t="s">
        <v>87</v>
      </c>
    </row>
    <row r="19" spans="1:14" ht="14.25" x14ac:dyDescent="0.2">
      <c r="A19" s="109" t="s">
        <v>1099</v>
      </c>
      <c r="B19" s="234">
        <v>2</v>
      </c>
      <c r="C19" s="284">
        <f>SUM('ICS.Balance sheet'!K20:K22)</f>
        <v>0</v>
      </c>
      <c r="D19" s="137" t="s">
        <v>90</v>
      </c>
      <c r="E19" s="137" t="s">
        <v>90</v>
      </c>
      <c r="F19" s="137" t="s">
        <v>90</v>
      </c>
      <c r="G19" s="137" t="s">
        <v>90</v>
      </c>
      <c r="H19" s="137" t="s">
        <v>90</v>
      </c>
      <c r="I19" s="137" t="s">
        <v>90</v>
      </c>
      <c r="J19" s="137" t="s">
        <v>90</v>
      </c>
      <c r="L19" s="96" t="s">
        <v>87</v>
      </c>
    </row>
    <row r="20" spans="1:14" ht="14.25" x14ac:dyDescent="0.2">
      <c r="A20" s="109" t="s">
        <v>1100</v>
      </c>
      <c r="B20" s="234">
        <v>3</v>
      </c>
      <c r="C20" s="284">
        <f>SUM('ICS.Balance sheet'!K24:K27)</f>
        <v>0</v>
      </c>
      <c r="D20" s="137" t="s">
        <v>90</v>
      </c>
      <c r="E20" s="137" t="s">
        <v>90</v>
      </c>
      <c r="F20" s="137" t="s">
        <v>90</v>
      </c>
      <c r="G20" s="137" t="s">
        <v>90</v>
      </c>
      <c r="H20" s="137" t="s">
        <v>90</v>
      </c>
      <c r="I20" s="137" t="s">
        <v>90</v>
      </c>
      <c r="J20" s="137" t="s">
        <v>90</v>
      </c>
      <c r="L20" s="96" t="s">
        <v>87</v>
      </c>
    </row>
    <row r="21" spans="1:14" ht="14.25" x14ac:dyDescent="0.2">
      <c r="A21" s="109" t="s">
        <v>247</v>
      </c>
      <c r="B21" s="234">
        <v>4</v>
      </c>
      <c r="C21" s="284">
        <f>SUM('ICS.Balance sheet'!K10)-SUM(C18:C20)</f>
        <v>0</v>
      </c>
      <c r="D21" s="137" t="s">
        <v>90</v>
      </c>
      <c r="E21" s="137" t="s">
        <v>90</v>
      </c>
      <c r="F21" s="137" t="s">
        <v>90</v>
      </c>
      <c r="G21" s="137" t="s">
        <v>90</v>
      </c>
      <c r="H21" s="137" t="s">
        <v>90</v>
      </c>
      <c r="I21" s="137" t="s">
        <v>90</v>
      </c>
      <c r="J21" s="137" t="s">
        <v>90</v>
      </c>
      <c r="L21" s="96" t="s">
        <v>87</v>
      </c>
    </row>
    <row r="22" spans="1:14" ht="14.25" x14ac:dyDescent="0.2">
      <c r="A22" s="112" t="s">
        <v>1101</v>
      </c>
      <c r="B22" s="234">
        <v>5</v>
      </c>
      <c r="C22" s="284">
        <f>SUM('ICS.Balance sheet'!K34)</f>
        <v>0</v>
      </c>
      <c r="D22" s="137" t="s">
        <v>90</v>
      </c>
      <c r="E22" s="137" t="s">
        <v>90</v>
      </c>
      <c r="F22" s="137" t="s">
        <v>90</v>
      </c>
      <c r="G22" s="137" t="s">
        <v>90</v>
      </c>
      <c r="H22" s="137" t="s">
        <v>90</v>
      </c>
      <c r="I22" s="137" t="s">
        <v>90</v>
      </c>
      <c r="J22" s="137" t="s">
        <v>90</v>
      </c>
      <c r="L22" s="96" t="s">
        <v>87</v>
      </c>
    </row>
    <row r="23" spans="1:14" ht="14.25" x14ac:dyDescent="0.2">
      <c r="A23" s="112" t="s">
        <v>1102</v>
      </c>
      <c r="B23" s="234">
        <v>6</v>
      </c>
      <c r="C23" s="284">
        <f>SUM('ICS.Balance sheet'!K35:K36)</f>
        <v>0</v>
      </c>
      <c r="D23" s="137" t="s">
        <v>90</v>
      </c>
      <c r="E23" s="137" t="s">
        <v>90</v>
      </c>
      <c r="F23" s="137" t="s">
        <v>90</v>
      </c>
      <c r="G23" s="137" t="s">
        <v>90</v>
      </c>
      <c r="H23" s="137" t="s">
        <v>90</v>
      </c>
      <c r="I23" s="137" t="s">
        <v>90</v>
      </c>
      <c r="J23" s="137" t="s">
        <v>90</v>
      </c>
      <c r="L23" s="96" t="s">
        <v>87</v>
      </c>
    </row>
    <row r="24" spans="1:14" ht="14.25" x14ac:dyDescent="0.2">
      <c r="A24" s="112" t="s">
        <v>1103</v>
      </c>
      <c r="B24" s="234">
        <v>7</v>
      </c>
      <c r="C24" s="284">
        <f>SUM('ICS.Balance sheet'!K37,'ICS.Balance sheet'!K44)</f>
        <v>0</v>
      </c>
      <c r="D24" s="137" t="s">
        <v>90</v>
      </c>
      <c r="E24" s="137" t="s">
        <v>90</v>
      </c>
      <c r="F24" s="137" t="s">
        <v>90</v>
      </c>
      <c r="G24" s="137" t="s">
        <v>90</v>
      </c>
      <c r="H24" s="137" t="s">
        <v>90</v>
      </c>
      <c r="I24" s="137" t="s">
        <v>90</v>
      </c>
      <c r="J24" s="137" t="s">
        <v>90</v>
      </c>
      <c r="L24" s="96" t="s">
        <v>87</v>
      </c>
    </row>
    <row r="25" spans="1:14" ht="14.25" x14ac:dyDescent="0.2">
      <c r="A25" s="118" t="s">
        <v>1104</v>
      </c>
      <c r="B25" s="261">
        <v>8</v>
      </c>
      <c r="C25" s="139" t="s">
        <v>90</v>
      </c>
      <c r="D25" s="139" t="s">
        <v>90</v>
      </c>
      <c r="E25" s="139" t="s">
        <v>90</v>
      </c>
      <c r="F25" s="139" t="s">
        <v>90</v>
      </c>
      <c r="G25" s="139" t="s">
        <v>90</v>
      </c>
      <c r="H25" s="139" t="s">
        <v>90</v>
      </c>
      <c r="I25" s="139" t="s">
        <v>90</v>
      </c>
      <c r="J25" s="139" t="s">
        <v>90</v>
      </c>
      <c r="L25" s="96" t="s">
        <v>87</v>
      </c>
    </row>
    <row r="26" spans="1:14" s="703" customFormat="1" ht="14.25" x14ac:dyDescent="0.2">
      <c r="A26" s="932"/>
      <c r="B26" s="932"/>
      <c r="C26" s="933"/>
      <c r="D26" s="933"/>
      <c r="E26" s="933"/>
      <c r="F26" s="933"/>
      <c r="G26" s="933"/>
      <c r="H26" s="933"/>
      <c r="I26" s="933"/>
      <c r="J26" s="933"/>
      <c r="L26" s="96" t="s">
        <v>87</v>
      </c>
      <c r="N26"/>
    </row>
    <row r="27" spans="1:14" s="703" customFormat="1" ht="14.25" x14ac:dyDescent="0.2">
      <c r="A27" s="93"/>
      <c r="B27" s="207"/>
      <c r="C27" s="1424" t="s">
        <v>1105</v>
      </c>
      <c r="D27" s="926" t="s">
        <v>1090</v>
      </c>
      <c r="E27" s="712"/>
      <c r="F27" s="712"/>
      <c r="G27" s="713"/>
      <c r="H27" s="1421" t="s">
        <v>1106</v>
      </c>
      <c r="I27" s="1421" t="s">
        <v>1107</v>
      </c>
      <c r="J27" s="1421" t="s">
        <v>1108</v>
      </c>
      <c r="L27" s="96" t="s">
        <v>87</v>
      </c>
    </row>
    <row r="28" spans="1:14" ht="85.15" customHeight="1" x14ac:dyDescent="0.2">
      <c r="A28" s="927" t="s">
        <v>1109</v>
      </c>
      <c r="B28" s="928"/>
      <c r="C28" s="1423"/>
      <c r="D28" s="278" t="s">
        <v>1095</v>
      </c>
      <c r="E28" s="278" t="s">
        <v>1096</v>
      </c>
      <c r="F28" s="278" t="s">
        <v>1097</v>
      </c>
      <c r="G28" s="278" t="s">
        <v>1098</v>
      </c>
      <c r="H28" s="1423"/>
      <c r="I28" s="1423"/>
      <c r="J28" s="1423"/>
      <c r="L28" s="96" t="s">
        <v>87</v>
      </c>
    </row>
    <row r="29" spans="1:14" ht="15" x14ac:dyDescent="0.2">
      <c r="A29" s="1377"/>
      <c r="B29" s="124">
        <v>171</v>
      </c>
      <c r="C29" s="105">
        <v>1</v>
      </c>
      <c r="D29" s="105">
        <v>2</v>
      </c>
      <c r="E29" s="105">
        <v>3</v>
      </c>
      <c r="F29" s="105">
        <v>4</v>
      </c>
      <c r="G29" s="105">
        <v>5</v>
      </c>
      <c r="H29" s="105">
        <v>6</v>
      </c>
      <c r="I29" s="105">
        <v>7</v>
      </c>
      <c r="J29" s="106">
        <v>8</v>
      </c>
      <c r="L29" s="96" t="s">
        <v>87</v>
      </c>
    </row>
    <row r="30" spans="1:14" ht="14.25" x14ac:dyDescent="0.2">
      <c r="A30" s="317" t="s">
        <v>262</v>
      </c>
      <c r="B30" s="234"/>
      <c r="C30" s="224"/>
      <c r="D30" s="225"/>
      <c r="E30" s="225"/>
      <c r="F30" s="225"/>
      <c r="G30" s="225"/>
      <c r="H30" s="225"/>
      <c r="I30" s="225"/>
      <c r="J30" s="742"/>
      <c r="L30" s="96" t="s">
        <v>87</v>
      </c>
    </row>
    <row r="31" spans="1:14" ht="14.25" x14ac:dyDescent="0.2">
      <c r="A31" s="272" t="s">
        <v>263</v>
      </c>
      <c r="B31" s="234">
        <v>1</v>
      </c>
      <c r="C31" s="284">
        <f>SUM('ICS.Liabilities reconciliation'!H10)</f>
        <v>0</v>
      </c>
      <c r="D31" s="137" t="s">
        <v>90</v>
      </c>
      <c r="E31" s="137" t="s">
        <v>90</v>
      </c>
      <c r="F31" s="137" t="s">
        <v>90</v>
      </c>
      <c r="G31" s="137" t="s">
        <v>90</v>
      </c>
      <c r="H31" s="137" t="s">
        <v>90</v>
      </c>
      <c r="I31" s="137" t="s">
        <v>90</v>
      </c>
      <c r="J31" s="137" t="s">
        <v>90</v>
      </c>
      <c r="L31" s="96" t="s">
        <v>87</v>
      </c>
    </row>
    <row r="32" spans="1:14" ht="14.25" x14ac:dyDescent="0.2">
      <c r="A32" s="272" t="s">
        <v>264</v>
      </c>
      <c r="B32" s="234">
        <v>2</v>
      </c>
      <c r="C32" s="284">
        <f>SUM('ICS.Liabilities reconciliation'!H11)</f>
        <v>0</v>
      </c>
      <c r="D32" s="137" t="s">
        <v>90</v>
      </c>
      <c r="E32" s="137" t="s">
        <v>90</v>
      </c>
      <c r="F32" s="137" t="s">
        <v>90</v>
      </c>
      <c r="G32" s="137" t="s">
        <v>90</v>
      </c>
      <c r="H32" s="137" t="s">
        <v>90</v>
      </c>
      <c r="I32" s="137" t="s">
        <v>90</v>
      </c>
      <c r="J32" s="137" t="s">
        <v>90</v>
      </c>
      <c r="L32" s="96" t="s">
        <v>87</v>
      </c>
    </row>
    <row r="33" spans="1:12" ht="14.25" x14ac:dyDescent="0.2">
      <c r="A33" s="272" t="s">
        <v>265</v>
      </c>
      <c r="B33" s="234">
        <v>3</v>
      </c>
      <c r="C33" s="284">
        <f>SUM('ICS.Liabilities reconciliation'!H12)</f>
        <v>0</v>
      </c>
      <c r="D33" s="137" t="s">
        <v>90</v>
      </c>
      <c r="E33" s="137" t="s">
        <v>90</v>
      </c>
      <c r="F33" s="137" t="s">
        <v>90</v>
      </c>
      <c r="G33" s="137" t="s">
        <v>90</v>
      </c>
      <c r="H33" s="137" t="s">
        <v>90</v>
      </c>
      <c r="I33" s="137" t="s">
        <v>90</v>
      </c>
      <c r="J33" s="137" t="s">
        <v>90</v>
      </c>
      <c r="L33" s="96" t="s">
        <v>87</v>
      </c>
    </row>
    <row r="34" spans="1:12" ht="14.25" x14ac:dyDescent="0.2">
      <c r="A34" s="272" t="s">
        <v>266</v>
      </c>
      <c r="B34" s="234">
        <v>4</v>
      </c>
      <c r="C34" s="284">
        <f>SUM('ICS.Liabilities reconciliation'!H13)</f>
        <v>0</v>
      </c>
      <c r="D34" s="137" t="s">
        <v>90</v>
      </c>
      <c r="E34" s="137" t="s">
        <v>90</v>
      </c>
      <c r="F34" s="137" t="s">
        <v>90</v>
      </c>
      <c r="G34" s="137" t="s">
        <v>90</v>
      </c>
      <c r="H34" s="137" t="s">
        <v>90</v>
      </c>
      <c r="I34" s="137" t="s">
        <v>90</v>
      </c>
      <c r="J34" s="137" t="s">
        <v>90</v>
      </c>
      <c r="L34" s="96" t="s">
        <v>87</v>
      </c>
    </row>
    <row r="35" spans="1:12" ht="14.25" x14ac:dyDescent="0.2">
      <c r="A35" s="272" t="s">
        <v>188</v>
      </c>
      <c r="B35" s="234">
        <v>5</v>
      </c>
      <c r="C35" s="284">
        <f>SUM('ICS.Liabilities reconciliation'!H14)</f>
        <v>0</v>
      </c>
      <c r="D35" s="137" t="s">
        <v>90</v>
      </c>
      <c r="E35" s="137" t="s">
        <v>90</v>
      </c>
      <c r="F35" s="137" t="s">
        <v>90</v>
      </c>
      <c r="G35" s="137" t="s">
        <v>90</v>
      </c>
      <c r="H35" s="137" t="s">
        <v>90</v>
      </c>
      <c r="I35" s="137" t="s">
        <v>90</v>
      </c>
      <c r="J35" s="137" t="s">
        <v>90</v>
      </c>
      <c r="L35" s="96" t="s">
        <v>87</v>
      </c>
    </row>
    <row r="36" spans="1:12" ht="14.25" x14ac:dyDescent="0.2">
      <c r="A36" s="272" t="s">
        <v>186</v>
      </c>
      <c r="B36" s="234">
        <v>6</v>
      </c>
      <c r="C36" s="284">
        <f>SUM('ICS.Liabilities reconciliation'!H15)</f>
        <v>0</v>
      </c>
      <c r="D36" s="137" t="s">
        <v>90</v>
      </c>
      <c r="E36" s="137" t="s">
        <v>90</v>
      </c>
      <c r="F36" s="137" t="s">
        <v>90</v>
      </c>
      <c r="G36" s="137" t="s">
        <v>90</v>
      </c>
      <c r="H36" s="137" t="s">
        <v>90</v>
      </c>
      <c r="I36" s="137" t="s">
        <v>90</v>
      </c>
      <c r="J36" s="137" t="s">
        <v>90</v>
      </c>
      <c r="L36" s="96" t="s">
        <v>87</v>
      </c>
    </row>
    <row r="37" spans="1:12" ht="14.25" x14ac:dyDescent="0.2">
      <c r="A37" s="272" t="s">
        <v>267</v>
      </c>
      <c r="B37" s="234">
        <v>7</v>
      </c>
      <c r="C37" s="284">
        <f>SUM('ICS.Liabilities reconciliation'!H16)</f>
        <v>0</v>
      </c>
      <c r="D37" s="137" t="s">
        <v>90</v>
      </c>
      <c r="E37" s="137" t="s">
        <v>90</v>
      </c>
      <c r="F37" s="137" t="s">
        <v>90</v>
      </c>
      <c r="G37" s="137" t="s">
        <v>90</v>
      </c>
      <c r="H37" s="137" t="s">
        <v>90</v>
      </c>
      <c r="I37" s="137" t="s">
        <v>90</v>
      </c>
      <c r="J37" s="137" t="s">
        <v>90</v>
      </c>
      <c r="L37" s="96" t="s">
        <v>87</v>
      </c>
    </row>
    <row r="38" spans="1:12" ht="14.25" x14ac:dyDescent="0.2">
      <c r="A38" s="317" t="s">
        <v>268</v>
      </c>
      <c r="B38" s="234"/>
      <c r="C38" s="145"/>
      <c r="D38" s="230"/>
      <c r="E38" s="230"/>
      <c r="F38" s="230"/>
      <c r="G38" s="230"/>
      <c r="H38" s="230"/>
      <c r="I38" s="230"/>
      <c r="J38" s="111"/>
      <c r="L38" s="96" t="s">
        <v>87</v>
      </c>
    </row>
    <row r="39" spans="1:12" ht="14.25" x14ac:dyDescent="0.2">
      <c r="A39" s="272" t="s">
        <v>269</v>
      </c>
      <c r="B39" s="234">
        <v>8</v>
      </c>
      <c r="C39" s="284">
        <f>SUM('ICS.Liabilities reconciliation'!H18)</f>
        <v>0</v>
      </c>
      <c r="D39" s="137" t="s">
        <v>90</v>
      </c>
      <c r="E39" s="137" t="s">
        <v>90</v>
      </c>
      <c r="F39" s="137" t="s">
        <v>90</v>
      </c>
      <c r="G39" s="137" t="s">
        <v>90</v>
      </c>
      <c r="H39" s="137" t="s">
        <v>90</v>
      </c>
      <c r="I39" s="137" t="s">
        <v>90</v>
      </c>
      <c r="J39" s="137" t="s">
        <v>90</v>
      </c>
      <c r="L39" s="96" t="s">
        <v>87</v>
      </c>
    </row>
    <row r="40" spans="1:12" ht="14.25" x14ac:dyDescent="0.2">
      <c r="A40" s="319" t="s">
        <v>270</v>
      </c>
      <c r="B40" s="234">
        <v>9</v>
      </c>
      <c r="C40" s="284">
        <f>SUM('ICS.Liabilities reconciliation'!H19)</f>
        <v>0</v>
      </c>
      <c r="D40" s="137" t="s">
        <v>90</v>
      </c>
      <c r="E40" s="137" t="s">
        <v>90</v>
      </c>
      <c r="F40" s="137" t="s">
        <v>90</v>
      </c>
      <c r="G40" s="137" t="s">
        <v>90</v>
      </c>
      <c r="H40" s="137" t="s">
        <v>90</v>
      </c>
      <c r="I40" s="137" t="s">
        <v>90</v>
      </c>
      <c r="J40" s="137" t="s">
        <v>90</v>
      </c>
      <c r="L40" s="96" t="s">
        <v>87</v>
      </c>
    </row>
    <row r="41" spans="1:12" ht="14.25" x14ac:dyDescent="0.2">
      <c r="A41" s="319" t="s">
        <v>271</v>
      </c>
      <c r="B41" s="234">
        <v>10</v>
      </c>
      <c r="C41" s="284">
        <f>SUM('ICS.Liabilities reconciliation'!H20)</f>
        <v>0</v>
      </c>
      <c r="D41" s="137" t="s">
        <v>90</v>
      </c>
      <c r="E41" s="137" t="s">
        <v>90</v>
      </c>
      <c r="F41" s="137" t="s">
        <v>90</v>
      </c>
      <c r="G41" s="137" t="s">
        <v>90</v>
      </c>
      <c r="H41" s="137" t="s">
        <v>90</v>
      </c>
      <c r="I41" s="137" t="s">
        <v>90</v>
      </c>
      <c r="J41" s="137" t="s">
        <v>90</v>
      </c>
      <c r="L41" s="96" t="s">
        <v>87</v>
      </c>
    </row>
    <row r="42" spans="1:12" ht="14.25" x14ac:dyDescent="0.2">
      <c r="A42" s="272" t="s">
        <v>272</v>
      </c>
      <c r="B42" s="234">
        <v>11</v>
      </c>
      <c r="C42" s="284">
        <f>SUM('ICS.Liabilities reconciliation'!H21)</f>
        <v>0</v>
      </c>
      <c r="D42" s="137" t="s">
        <v>90</v>
      </c>
      <c r="E42" s="137" t="s">
        <v>90</v>
      </c>
      <c r="F42" s="137" t="s">
        <v>90</v>
      </c>
      <c r="G42" s="137" t="s">
        <v>90</v>
      </c>
      <c r="H42" s="137" t="s">
        <v>90</v>
      </c>
      <c r="I42" s="137" t="s">
        <v>90</v>
      </c>
      <c r="J42" s="137" t="s">
        <v>90</v>
      </c>
      <c r="L42" s="96" t="s">
        <v>87</v>
      </c>
    </row>
    <row r="43" spans="1:12" ht="14.25" x14ac:dyDescent="0.2">
      <c r="A43" s="272" t="s">
        <v>273</v>
      </c>
      <c r="B43" s="234">
        <v>12</v>
      </c>
      <c r="C43" s="284">
        <f>SUM('ICS.Liabilities reconciliation'!H22)</f>
        <v>0</v>
      </c>
      <c r="D43" s="137" t="s">
        <v>90</v>
      </c>
      <c r="E43" s="137" t="s">
        <v>90</v>
      </c>
      <c r="F43" s="137" t="s">
        <v>90</v>
      </c>
      <c r="G43" s="137" t="s">
        <v>90</v>
      </c>
      <c r="H43" s="137" t="s">
        <v>90</v>
      </c>
      <c r="I43" s="137" t="s">
        <v>90</v>
      </c>
      <c r="J43" s="137" t="s">
        <v>90</v>
      </c>
      <c r="L43" s="96" t="s">
        <v>87</v>
      </c>
    </row>
    <row r="44" spans="1:12" ht="14.25" x14ac:dyDescent="0.2">
      <c r="A44" s="272" t="s">
        <v>274</v>
      </c>
      <c r="B44" s="234">
        <v>13</v>
      </c>
      <c r="C44" s="284">
        <f>SUM('ICS.Liabilities reconciliation'!H23)</f>
        <v>0</v>
      </c>
      <c r="D44" s="137" t="s">
        <v>90</v>
      </c>
      <c r="E44" s="137" t="s">
        <v>90</v>
      </c>
      <c r="F44" s="137" t="s">
        <v>90</v>
      </c>
      <c r="G44" s="137" t="s">
        <v>90</v>
      </c>
      <c r="H44" s="137" t="s">
        <v>90</v>
      </c>
      <c r="I44" s="137" t="s">
        <v>90</v>
      </c>
      <c r="J44" s="137" t="s">
        <v>90</v>
      </c>
      <c r="L44" s="96" t="s">
        <v>87</v>
      </c>
    </row>
    <row r="45" spans="1:12" ht="14.25" x14ac:dyDescent="0.2">
      <c r="A45" s="317" t="s">
        <v>1110</v>
      </c>
      <c r="B45" s="234"/>
      <c r="C45" s="145"/>
      <c r="D45" s="230"/>
      <c r="E45" s="230"/>
      <c r="F45" s="230"/>
      <c r="G45" s="230"/>
      <c r="H45" s="230"/>
      <c r="I45" s="230"/>
      <c r="J45" s="111"/>
      <c r="L45" s="96" t="s">
        <v>87</v>
      </c>
    </row>
    <row r="46" spans="1:12" ht="14.25" x14ac:dyDescent="0.2">
      <c r="A46" s="272" t="s">
        <v>275</v>
      </c>
      <c r="B46" s="234">
        <v>14</v>
      </c>
      <c r="C46" s="935">
        <f>SUM('ICS.Liabilities reconciliation'!H24,'ICS.Liabilities reconciliation'!H28)</f>
        <v>0</v>
      </c>
      <c r="D46" s="137" t="s">
        <v>90</v>
      </c>
      <c r="E46" s="137" t="s">
        <v>90</v>
      </c>
      <c r="F46" s="137" t="s">
        <v>90</v>
      </c>
      <c r="G46" s="137" t="s">
        <v>90</v>
      </c>
      <c r="H46" s="137" t="s">
        <v>90</v>
      </c>
      <c r="I46" s="137" t="s">
        <v>90</v>
      </c>
      <c r="J46" s="137" t="s">
        <v>90</v>
      </c>
      <c r="L46" s="96"/>
    </row>
    <row r="47" spans="1:12" ht="14.25" x14ac:dyDescent="0.2">
      <c r="A47" s="936" t="s">
        <v>1111</v>
      </c>
      <c r="B47" s="261">
        <v>15</v>
      </c>
      <c r="C47" s="139" t="s">
        <v>90</v>
      </c>
      <c r="D47" s="139" t="s">
        <v>90</v>
      </c>
      <c r="E47" s="139" t="s">
        <v>90</v>
      </c>
      <c r="F47" s="139" t="s">
        <v>90</v>
      </c>
      <c r="G47" s="139" t="s">
        <v>90</v>
      </c>
      <c r="H47" s="139" t="s">
        <v>90</v>
      </c>
      <c r="I47" s="139" t="s">
        <v>90</v>
      </c>
      <c r="J47" s="139" t="s">
        <v>90</v>
      </c>
      <c r="L47" s="96" t="s">
        <v>87</v>
      </c>
    </row>
    <row r="48" spans="1:12" ht="14.25" x14ac:dyDescent="0.2">
      <c r="L48" s="96" t="s">
        <v>87</v>
      </c>
    </row>
    <row r="49" spans="1:12" ht="14.25" x14ac:dyDescent="0.2">
      <c r="A49" s="96" t="s">
        <v>87</v>
      </c>
      <c r="B49" s="96" t="s">
        <v>87</v>
      </c>
      <c r="C49" s="96" t="s">
        <v>87</v>
      </c>
      <c r="D49" s="96" t="s">
        <v>87</v>
      </c>
      <c r="E49" s="96" t="s">
        <v>87</v>
      </c>
      <c r="F49" s="96" t="s">
        <v>87</v>
      </c>
      <c r="G49" s="96" t="s">
        <v>87</v>
      </c>
      <c r="H49" s="96" t="s">
        <v>87</v>
      </c>
      <c r="I49" s="96" t="s">
        <v>87</v>
      </c>
      <c r="J49" s="96" t="s">
        <v>87</v>
      </c>
      <c r="K49" s="96" t="s">
        <v>87</v>
      </c>
      <c r="L49" s="96" t="s">
        <v>87</v>
      </c>
    </row>
  </sheetData>
  <mergeCells count="8">
    <mergeCell ref="C15:C16"/>
    <mergeCell ref="H15:H16"/>
    <mergeCell ref="I15:I16"/>
    <mergeCell ref="J15:J16"/>
    <mergeCell ref="C27:C28"/>
    <mergeCell ref="H27:H28"/>
    <mergeCell ref="I27:I28"/>
    <mergeCell ref="J27:J28"/>
  </mergeCells>
  <pageMargins left="0.25" right="0.25" top="0.75" bottom="0.75" header="0.3" footer="0.3"/>
  <pageSetup paperSize="9" orientation="landscape" r:id="rId1"/>
  <headerFooter>
    <oddHeader>&amp;L
&amp;R&amp;14Restricted</oddHeader>
    <oddFooter>&amp;L&amp;F&amp;C&amp;A&amp;RPage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5" tint="-0.249977111117893"/>
    <pageSetUpPr fitToPage="1"/>
  </sheetPr>
  <dimension ref="A1:N67"/>
  <sheetViews>
    <sheetView workbookViewId="0">
      <selection activeCell="A4" sqref="A4"/>
    </sheetView>
  </sheetViews>
  <sheetFormatPr defaultColWidth="10.140625" defaultRowHeight="12.75" x14ac:dyDescent="0.2"/>
  <cols>
    <col min="1" max="1" width="44.7109375" customWidth="1"/>
    <col min="2" max="2" width="3.85546875" customWidth="1"/>
    <col min="3" max="10" width="10.7109375" customWidth="1"/>
    <col min="11" max="11" width="2.28515625" customWidth="1"/>
    <col min="12" max="12" width="2" customWidth="1"/>
  </cols>
  <sheetData>
    <row r="1" spans="1:14" x14ac:dyDescent="0.2">
      <c r="A1" s="93" t="str">
        <f>FT15.Participant!$A$1</f>
        <v>&lt;IAIG's Name&gt;</v>
      </c>
      <c r="B1" s="94"/>
      <c r="C1" s="94"/>
      <c r="D1" s="94"/>
      <c r="E1" s="94"/>
      <c r="F1" s="94"/>
      <c r="G1" s="94"/>
      <c r="H1" s="94"/>
      <c r="I1" s="94"/>
      <c r="J1" s="95" t="str">
        <f ca="1">HYPERLINK("#"&amp;CELL("address",FT15.IndexSheet),Version)</f>
        <v>2015 IAIS Field Testing Template</v>
      </c>
      <c r="L1" s="699" t="s">
        <v>87</v>
      </c>
    </row>
    <row r="2" spans="1:14" ht="15" x14ac:dyDescent="0.25">
      <c r="A2" s="97" t="str">
        <f>FT15.Participant!$A$2</f>
        <v>&lt;Currency&gt; - (&lt;Unit&gt;)</v>
      </c>
      <c r="B2" s="98" t="s">
        <v>1557</v>
      </c>
      <c r="C2" s="99"/>
      <c r="D2" s="99"/>
      <c r="E2" s="99"/>
      <c r="F2" s="99"/>
      <c r="G2" s="99"/>
      <c r="H2" s="99"/>
      <c r="I2" s="99"/>
      <c r="J2" s="100" t="str">
        <f>FT15.Participant!$E$2</f>
        <v xml:space="preserve">&lt;Reporting Date&gt; - </v>
      </c>
      <c r="L2" s="699" t="s">
        <v>87</v>
      </c>
    </row>
    <row r="3" spans="1:14" x14ac:dyDescent="0.2">
      <c r="L3" s="699" t="s">
        <v>87</v>
      </c>
    </row>
    <row r="4" spans="1:14" ht="15" customHeight="1" x14ac:dyDescent="0.25">
      <c r="A4" s="937" t="s">
        <v>1112</v>
      </c>
      <c r="B4" s="764"/>
      <c r="C4" s="332" t="s">
        <v>47</v>
      </c>
      <c r="D4" s="334"/>
      <c r="E4" s="1486" t="s">
        <v>1113</v>
      </c>
      <c r="F4" s="1487"/>
      <c r="G4" s="1486" t="s">
        <v>1114</v>
      </c>
      <c r="H4" s="1487"/>
      <c r="L4" s="699" t="s">
        <v>87</v>
      </c>
      <c r="N4" s="4" t="s">
        <v>90</v>
      </c>
    </row>
    <row r="5" spans="1:14" ht="15" x14ac:dyDescent="0.25">
      <c r="A5" s="938"/>
      <c r="B5" s="104">
        <v>172</v>
      </c>
      <c r="C5" s="939">
        <v>1</v>
      </c>
      <c r="D5" s="939"/>
      <c r="E5" s="939">
        <v>2</v>
      </c>
      <c r="F5" s="939"/>
      <c r="G5" s="1488">
        <v>3</v>
      </c>
      <c r="H5" s="1488"/>
      <c r="L5" s="699" t="s">
        <v>87</v>
      </c>
      <c r="N5" s="4" t="s">
        <v>1115</v>
      </c>
    </row>
    <row r="6" spans="1:14" x14ac:dyDescent="0.2">
      <c r="A6" s="146" t="s">
        <v>691</v>
      </c>
      <c r="B6" s="169">
        <v>1</v>
      </c>
      <c r="C6" s="1489" t="str">
        <f>IF(COUNTIF(E6:H6,"-")&lt;2,MAX(0,E6:H6),"-")</f>
        <v>-</v>
      </c>
      <c r="D6" s="1490"/>
      <c r="E6" s="1491" t="str">
        <f>IF(E46&lt;&gt;"-",MAX(0,($C$17-$C$34-SUM($C$36))-(E46-E63-SUM(E65))),"-")</f>
        <v>-</v>
      </c>
      <c r="F6" s="1492"/>
      <c r="G6" s="1491" t="str">
        <f>IF(I46&lt;&gt;"-",MAX(0,($C$17-$C$34-SUM($C$36))-(I46-I63-SUM(I65))),"-")</f>
        <v>-</v>
      </c>
      <c r="H6" s="1492"/>
      <c r="L6" s="699" t="s">
        <v>87</v>
      </c>
      <c r="N6" s="4" t="s">
        <v>1116</v>
      </c>
    </row>
    <row r="7" spans="1:14" x14ac:dyDescent="0.2">
      <c r="A7" s="150" t="s">
        <v>690</v>
      </c>
      <c r="B7" s="169">
        <v>2</v>
      </c>
      <c r="C7" s="1480" t="str">
        <f>IF(C8&lt;&gt;"-",SUM(INDEX(E7:H7,2*MATCH(C8,N5:N6,0)-1)),"-")</f>
        <v>-</v>
      </c>
      <c r="D7" s="1481"/>
      <c r="E7" s="1482" t="str">
        <f>IF(C46&lt;&gt;"-",MAX(0,($C$17-$C$34-SUM($C$36))-(C46-C63-SUM(C65))),"-")</f>
        <v>-</v>
      </c>
      <c r="F7" s="1483"/>
      <c r="G7" s="1482" t="str">
        <f>IF(G46&lt;&gt;"-",MAX(0,($C$17-$C$34-SUM($C$36))-(G46-G63-SUM(G65))),"-")</f>
        <v>-</v>
      </c>
      <c r="H7" s="1483"/>
      <c r="L7" s="699" t="s">
        <v>87</v>
      </c>
    </row>
    <row r="8" spans="1:14" ht="14.25" x14ac:dyDescent="0.2">
      <c r="A8" s="940" t="s">
        <v>1062</v>
      </c>
      <c r="B8" s="162">
        <v>3</v>
      </c>
      <c r="C8" s="1484" t="str">
        <f>IF(C6="-","-",INDEX(N4:N6,1+IFERROR((1+MATCH(C6,E6:H6,0))/2,0)))</f>
        <v>-</v>
      </c>
      <c r="D8" s="1485"/>
      <c r="L8" s="699" t="s">
        <v>87</v>
      </c>
    </row>
    <row r="9" spans="1:14" x14ac:dyDescent="0.2">
      <c r="L9" s="699" t="s">
        <v>87</v>
      </c>
    </row>
    <row r="10" spans="1:14" ht="14.25" x14ac:dyDescent="0.2">
      <c r="A10" s="707"/>
      <c r="B10" s="708"/>
      <c r="C10" s="942" t="s">
        <v>1117</v>
      </c>
      <c r="D10" s="331"/>
      <c r="E10" s="328" t="s">
        <v>1118</v>
      </c>
      <c r="F10" s="331"/>
      <c r="L10" s="699" t="s">
        <v>87</v>
      </c>
    </row>
    <row r="11" spans="1:14" s="941" customFormat="1" ht="38.25" x14ac:dyDescent="0.2">
      <c r="A11" s="943" t="s">
        <v>1119</v>
      </c>
      <c r="B11" s="709"/>
      <c r="C11" s="278" t="s">
        <v>1120</v>
      </c>
      <c r="D11" s="944" t="s">
        <v>1121</v>
      </c>
      <c r="E11" s="278" t="s">
        <v>1120</v>
      </c>
      <c r="F11" s="944" t="s">
        <v>1121</v>
      </c>
      <c r="L11" s="699" t="s">
        <v>87</v>
      </c>
    </row>
    <row r="12" spans="1:14" s="941" customFormat="1" ht="14.25" x14ac:dyDescent="0.2">
      <c r="A12" s="720"/>
      <c r="B12" s="124">
        <v>173</v>
      </c>
      <c r="C12" s="167">
        <v>1</v>
      </c>
      <c r="D12" s="167">
        <v>2</v>
      </c>
      <c r="E12" s="167">
        <v>3</v>
      </c>
      <c r="F12" s="214">
        <v>4</v>
      </c>
      <c r="L12" s="699" t="s">
        <v>87</v>
      </c>
    </row>
    <row r="13" spans="1:14" ht="14.25" x14ac:dyDescent="0.2">
      <c r="A13" s="707" t="s">
        <v>1122</v>
      </c>
      <c r="B13" s="234">
        <v>1</v>
      </c>
      <c r="C13" s="149" t="s">
        <v>90</v>
      </c>
      <c r="D13" s="149" t="s">
        <v>90</v>
      </c>
      <c r="E13" s="149" t="s">
        <v>90</v>
      </c>
      <c r="F13" s="149" t="s">
        <v>90</v>
      </c>
      <c r="L13" s="699" t="s">
        <v>87</v>
      </c>
    </row>
    <row r="14" spans="1:14" ht="14.25" x14ac:dyDescent="0.2">
      <c r="A14" s="720" t="s">
        <v>1123</v>
      </c>
      <c r="B14" s="234">
        <v>2</v>
      </c>
      <c r="C14" s="137" t="s">
        <v>90</v>
      </c>
      <c r="D14" s="137" t="s">
        <v>90</v>
      </c>
      <c r="E14" s="137" t="s">
        <v>90</v>
      </c>
      <c r="F14" s="137" t="s">
        <v>90</v>
      </c>
      <c r="L14" s="699" t="s">
        <v>87</v>
      </c>
    </row>
    <row r="15" spans="1:14" x14ac:dyDescent="0.2">
      <c r="A15" s="112" t="s">
        <v>1124</v>
      </c>
      <c r="B15" s="945">
        <v>3</v>
      </c>
      <c r="C15" s="137" t="s">
        <v>90</v>
      </c>
      <c r="D15" s="137" t="s">
        <v>90</v>
      </c>
      <c r="E15" s="137" t="s">
        <v>90</v>
      </c>
      <c r="F15" s="137" t="s">
        <v>90</v>
      </c>
      <c r="L15" s="699" t="s">
        <v>87</v>
      </c>
    </row>
    <row r="16" spans="1:14" x14ac:dyDescent="0.2">
      <c r="A16" s="146" t="s">
        <v>1125</v>
      </c>
      <c r="B16" s="234">
        <v>4</v>
      </c>
      <c r="C16" s="137" t="s">
        <v>90</v>
      </c>
      <c r="D16" s="137" t="s">
        <v>90</v>
      </c>
      <c r="E16" s="137" t="s">
        <v>90</v>
      </c>
      <c r="F16" s="137" t="s">
        <v>90</v>
      </c>
      <c r="L16" s="699" t="s">
        <v>87</v>
      </c>
    </row>
    <row r="17" spans="1:12" ht="14.25" x14ac:dyDescent="0.2">
      <c r="A17" s="946" t="s">
        <v>1126</v>
      </c>
      <c r="B17" s="234">
        <v>5</v>
      </c>
      <c r="C17" s="1470">
        <f>SUM(C13:D16)</f>
        <v>0</v>
      </c>
      <c r="D17" s="1471"/>
      <c r="E17" s="1470" t="str">
        <f>IF(COUNTIF(E13:F16,"-")&lt;COUNTA(E13:F16),SUM(E13:F16),"-")</f>
        <v>-</v>
      </c>
      <c r="F17" s="1471"/>
      <c r="L17" s="699" t="s">
        <v>87</v>
      </c>
    </row>
    <row r="18" spans="1:12" ht="15" x14ac:dyDescent="0.25">
      <c r="A18" s="317" t="s">
        <v>262</v>
      </c>
      <c r="B18" s="234"/>
      <c r="C18" s="947"/>
      <c r="D18" s="948"/>
      <c r="E18" s="948"/>
      <c r="F18" s="949"/>
      <c r="L18" s="699" t="s">
        <v>87</v>
      </c>
    </row>
    <row r="19" spans="1:12" x14ac:dyDescent="0.2">
      <c r="A19" s="272" t="s">
        <v>263</v>
      </c>
      <c r="B19" s="234">
        <v>6</v>
      </c>
      <c r="C19" s="1478">
        <f>SUM('ICS.Liabilities reconciliation'!H10)</f>
        <v>0</v>
      </c>
      <c r="D19" s="1479"/>
      <c r="E19" s="1474" t="s">
        <v>90</v>
      </c>
      <c r="F19" s="1475"/>
      <c r="L19" s="699" t="s">
        <v>87</v>
      </c>
    </row>
    <row r="20" spans="1:12" x14ac:dyDescent="0.2">
      <c r="A20" s="272" t="s">
        <v>264</v>
      </c>
      <c r="B20" s="234">
        <v>7</v>
      </c>
      <c r="C20" s="1478">
        <f>SUM('ICS.Liabilities reconciliation'!H11)</f>
        <v>0</v>
      </c>
      <c r="D20" s="1479"/>
      <c r="E20" s="1474" t="s">
        <v>90</v>
      </c>
      <c r="F20" s="1475"/>
      <c r="L20" s="699" t="s">
        <v>87</v>
      </c>
    </row>
    <row r="21" spans="1:12" x14ac:dyDescent="0.2">
      <c r="A21" s="272" t="s">
        <v>265</v>
      </c>
      <c r="B21" s="234">
        <v>8</v>
      </c>
      <c r="C21" s="1478">
        <f>SUM('ICS.Liabilities reconciliation'!H12)</f>
        <v>0</v>
      </c>
      <c r="D21" s="1479"/>
      <c r="E21" s="1474" t="s">
        <v>90</v>
      </c>
      <c r="F21" s="1475"/>
      <c r="L21" s="699" t="s">
        <v>87</v>
      </c>
    </row>
    <row r="22" spans="1:12" x14ac:dyDescent="0.2">
      <c r="A22" s="272" t="s">
        <v>266</v>
      </c>
      <c r="B22" s="234">
        <v>9</v>
      </c>
      <c r="C22" s="1478">
        <f>SUM('ICS.Liabilities reconciliation'!H13)</f>
        <v>0</v>
      </c>
      <c r="D22" s="1479"/>
      <c r="E22" s="1474" t="s">
        <v>90</v>
      </c>
      <c r="F22" s="1475"/>
      <c r="L22" s="699" t="s">
        <v>87</v>
      </c>
    </row>
    <row r="23" spans="1:12" x14ac:dyDescent="0.2">
      <c r="A23" s="272" t="s">
        <v>188</v>
      </c>
      <c r="B23" s="234">
        <v>10</v>
      </c>
      <c r="C23" s="1478">
        <f>SUM('ICS.Liabilities reconciliation'!H14)</f>
        <v>0</v>
      </c>
      <c r="D23" s="1479"/>
      <c r="E23" s="1474" t="s">
        <v>90</v>
      </c>
      <c r="F23" s="1475"/>
      <c r="L23" s="699" t="s">
        <v>87</v>
      </c>
    </row>
    <row r="24" spans="1:12" x14ac:dyDescent="0.2">
      <c r="A24" s="272" t="s">
        <v>186</v>
      </c>
      <c r="B24" s="234">
        <v>11</v>
      </c>
      <c r="C24" s="1478">
        <f>SUM('ICS.Liabilities reconciliation'!H15)</f>
        <v>0</v>
      </c>
      <c r="D24" s="1479"/>
      <c r="E24" s="1474" t="s">
        <v>90</v>
      </c>
      <c r="F24" s="1475"/>
      <c r="L24" s="699" t="s">
        <v>87</v>
      </c>
    </row>
    <row r="25" spans="1:12" x14ac:dyDescent="0.2">
      <c r="A25" s="272" t="s">
        <v>267</v>
      </c>
      <c r="B25" s="234">
        <v>12</v>
      </c>
      <c r="C25" s="1478">
        <f>SUM('ICS.Liabilities reconciliation'!H16)</f>
        <v>0</v>
      </c>
      <c r="D25" s="1479"/>
      <c r="E25" s="1474" t="s">
        <v>90</v>
      </c>
      <c r="F25" s="1475"/>
      <c r="L25" s="699" t="s">
        <v>87</v>
      </c>
    </row>
    <row r="26" spans="1:12" ht="15" x14ac:dyDescent="0.25">
      <c r="A26" s="317" t="s">
        <v>268</v>
      </c>
      <c r="B26" s="234"/>
      <c r="C26" s="950"/>
      <c r="D26" s="951"/>
      <c r="E26" s="951"/>
      <c r="F26" s="952"/>
      <c r="L26" s="699" t="s">
        <v>87</v>
      </c>
    </row>
    <row r="27" spans="1:12" x14ac:dyDescent="0.2">
      <c r="A27" s="272" t="s">
        <v>269</v>
      </c>
      <c r="B27" s="234">
        <v>13</v>
      </c>
      <c r="C27" s="1478">
        <f>SUM('ICS.Liabilities reconciliation'!H18)</f>
        <v>0</v>
      </c>
      <c r="D27" s="1479"/>
      <c r="E27" s="1474" t="s">
        <v>90</v>
      </c>
      <c r="F27" s="1475"/>
      <c r="L27" s="699" t="s">
        <v>87</v>
      </c>
    </row>
    <row r="28" spans="1:12" x14ac:dyDescent="0.2">
      <c r="A28" s="319" t="s">
        <v>270</v>
      </c>
      <c r="B28" s="234">
        <v>14</v>
      </c>
      <c r="C28" s="1478">
        <f>SUM('ICS.Liabilities reconciliation'!H19)</f>
        <v>0</v>
      </c>
      <c r="D28" s="1479"/>
      <c r="E28" s="1474" t="s">
        <v>90</v>
      </c>
      <c r="F28" s="1475"/>
      <c r="L28" s="699" t="s">
        <v>87</v>
      </c>
    </row>
    <row r="29" spans="1:12" x14ac:dyDescent="0.2">
      <c r="A29" s="319" t="s">
        <v>271</v>
      </c>
      <c r="B29" s="234">
        <v>15</v>
      </c>
      <c r="C29" s="1478">
        <f>SUM('ICS.Liabilities reconciliation'!H20)</f>
        <v>0</v>
      </c>
      <c r="D29" s="1479"/>
      <c r="E29" s="1474" t="s">
        <v>90</v>
      </c>
      <c r="F29" s="1475"/>
      <c r="L29" s="699" t="s">
        <v>87</v>
      </c>
    </row>
    <row r="30" spans="1:12" x14ac:dyDescent="0.2">
      <c r="A30" s="272" t="s">
        <v>272</v>
      </c>
      <c r="B30" s="234">
        <v>16</v>
      </c>
      <c r="C30" s="1478">
        <f>SUM('ICS.Liabilities reconciliation'!H21)</f>
        <v>0</v>
      </c>
      <c r="D30" s="1479"/>
      <c r="E30" s="1474" t="s">
        <v>90</v>
      </c>
      <c r="F30" s="1475"/>
      <c r="L30" s="699" t="s">
        <v>87</v>
      </c>
    </row>
    <row r="31" spans="1:12" x14ac:dyDescent="0.2">
      <c r="A31" s="272" t="s">
        <v>273</v>
      </c>
      <c r="B31" s="234">
        <v>17</v>
      </c>
      <c r="C31" s="1478">
        <f>SUM('ICS.Liabilities reconciliation'!H22)</f>
        <v>0</v>
      </c>
      <c r="D31" s="1479"/>
      <c r="E31" s="1474" t="s">
        <v>90</v>
      </c>
      <c r="F31" s="1475"/>
      <c r="L31" s="699" t="s">
        <v>87</v>
      </c>
    </row>
    <row r="32" spans="1:12" x14ac:dyDescent="0.2">
      <c r="A32" s="272" t="s">
        <v>274</v>
      </c>
      <c r="B32" s="234">
        <v>18</v>
      </c>
      <c r="C32" s="1478">
        <f>SUM('ICS.Liabilities reconciliation'!H23)</f>
        <v>0</v>
      </c>
      <c r="D32" s="1479"/>
      <c r="E32" s="1474" t="s">
        <v>90</v>
      </c>
      <c r="F32" s="1475"/>
      <c r="L32" s="699" t="s">
        <v>87</v>
      </c>
    </row>
    <row r="33" spans="1:12" ht="14.25" x14ac:dyDescent="0.2">
      <c r="A33" s="317" t="s">
        <v>275</v>
      </c>
      <c r="B33" s="234">
        <v>19</v>
      </c>
      <c r="C33" s="1478">
        <f>SUM('ICS.Liabilities reconciliation'!H24,'ICS.Liabilities reconciliation'!H28)</f>
        <v>0</v>
      </c>
      <c r="D33" s="1479"/>
      <c r="E33" s="1476" t="s">
        <v>90</v>
      </c>
      <c r="F33" s="1477"/>
      <c r="L33" s="699" t="s">
        <v>87</v>
      </c>
    </row>
    <row r="34" spans="1:12" ht="15" x14ac:dyDescent="0.25">
      <c r="A34" s="397" t="s">
        <v>1558</v>
      </c>
      <c r="B34" s="234">
        <v>20</v>
      </c>
      <c r="C34" s="1470">
        <f>SUM(C19:D27,C30:D33)</f>
        <v>0</v>
      </c>
      <c r="D34" s="1471"/>
      <c r="E34" s="1470">
        <f>SUM(E19:F27,E30:F33)</f>
        <v>0</v>
      </c>
      <c r="F34" s="1471"/>
      <c r="L34" s="699" t="s">
        <v>87</v>
      </c>
    </row>
    <row r="35" spans="1:12" x14ac:dyDescent="0.2">
      <c r="A35" s="145"/>
      <c r="B35" s="234"/>
      <c r="C35" s="145"/>
      <c r="D35" s="230"/>
      <c r="E35" s="230"/>
      <c r="F35" s="111"/>
      <c r="L35" s="699" t="s">
        <v>87</v>
      </c>
    </row>
    <row r="36" spans="1:12" ht="14.25" x14ac:dyDescent="0.2">
      <c r="A36" s="946" t="s">
        <v>1128</v>
      </c>
      <c r="B36" s="261">
        <v>21</v>
      </c>
      <c r="C36" s="1472" t="s">
        <v>90</v>
      </c>
      <c r="D36" s="1473"/>
      <c r="E36" s="1472" t="s">
        <v>90</v>
      </c>
      <c r="F36" s="1473"/>
      <c r="L36" s="699" t="s">
        <v>87</v>
      </c>
    </row>
    <row r="37" spans="1:12" x14ac:dyDescent="0.2">
      <c r="L37" s="699" t="s">
        <v>87</v>
      </c>
    </row>
    <row r="38" spans="1:12" x14ac:dyDescent="0.2">
      <c r="C38" s="328" t="s">
        <v>1129</v>
      </c>
      <c r="D38" s="953"/>
      <c r="E38" s="953"/>
      <c r="F38" s="331"/>
      <c r="G38" s="328" t="s">
        <v>1130</v>
      </c>
      <c r="H38" s="953"/>
      <c r="I38" s="953"/>
      <c r="J38" s="331"/>
      <c r="L38" s="699" t="s">
        <v>87</v>
      </c>
    </row>
    <row r="39" spans="1:12" x14ac:dyDescent="0.2">
      <c r="C39" s="954" t="s">
        <v>690</v>
      </c>
      <c r="D39" s="955"/>
      <c r="E39" s="954" t="s">
        <v>691</v>
      </c>
      <c r="F39" s="955"/>
      <c r="G39" s="328" t="s">
        <v>690</v>
      </c>
      <c r="H39" s="331"/>
      <c r="I39" s="328" t="s">
        <v>691</v>
      </c>
      <c r="J39" s="331"/>
      <c r="L39" s="699" t="s">
        <v>87</v>
      </c>
    </row>
    <row r="40" spans="1:12" ht="37.5" customHeight="1" x14ac:dyDescent="0.2">
      <c r="A40" s="93" t="s">
        <v>1131</v>
      </c>
      <c r="B40" s="708"/>
      <c r="C40" s="655" t="s">
        <v>1120</v>
      </c>
      <c r="D40" s="956" t="s">
        <v>1121</v>
      </c>
      <c r="E40" s="655" t="s">
        <v>1120</v>
      </c>
      <c r="F40" s="956" t="s">
        <v>1121</v>
      </c>
      <c r="G40" s="655" t="s">
        <v>1120</v>
      </c>
      <c r="H40" s="956" t="s">
        <v>1121</v>
      </c>
      <c r="I40" s="655" t="s">
        <v>1120</v>
      </c>
      <c r="J40" s="655" t="s">
        <v>1121</v>
      </c>
      <c r="L40" s="699" t="s">
        <v>87</v>
      </c>
    </row>
    <row r="41" spans="1:12" ht="14.25" x14ac:dyDescent="0.2">
      <c r="A41" s="720"/>
      <c r="B41" s="104">
        <v>174</v>
      </c>
      <c r="C41" s="167">
        <v>1</v>
      </c>
      <c r="D41" s="167">
        <v>2</v>
      </c>
      <c r="E41" s="167">
        <v>3</v>
      </c>
      <c r="F41" s="167">
        <v>4</v>
      </c>
      <c r="G41" s="167">
        <v>5</v>
      </c>
      <c r="H41" s="167">
        <v>6</v>
      </c>
      <c r="I41" s="167">
        <v>7</v>
      </c>
      <c r="J41" s="167">
        <v>8</v>
      </c>
      <c r="L41" s="699" t="s">
        <v>87</v>
      </c>
    </row>
    <row r="42" spans="1:12" ht="14.25" x14ac:dyDescent="0.2">
      <c r="A42" s="707" t="s">
        <v>1122</v>
      </c>
      <c r="B42" s="234">
        <v>1</v>
      </c>
      <c r="C42" s="149" t="s">
        <v>90</v>
      </c>
      <c r="D42" s="149" t="s">
        <v>90</v>
      </c>
      <c r="E42" s="149" t="s">
        <v>90</v>
      </c>
      <c r="F42" s="149" t="s">
        <v>90</v>
      </c>
      <c r="G42" s="149" t="s">
        <v>90</v>
      </c>
      <c r="H42" s="149" t="s">
        <v>90</v>
      </c>
      <c r="I42" s="149" t="s">
        <v>90</v>
      </c>
      <c r="J42" s="149" t="s">
        <v>90</v>
      </c>
      <c r="L42" s="699" t="s">
        <v>87</v>
      </c>
    </row>
    <row r="43" spans="1:12" ht="14.25" customHeight="1" x14ac:dyDescent="0.2">
      <c r="A43" s="720" t="s">
        <v>1123</v>
      </c>
      <c r="B43" s="234">
        <v>2</v>
      </c>
      <c r="C43" s="137" t="s">
        <v>90</v>
      </c>
      <c r="D43" s="137" t="s">
        <v>90</v>
      </c>
      <c r="E43" s="137" t="s">
        <v>90</v>
      </c>
      <c r="F43" s="137" t="s">
        <v>90</v>
      </c>
      <c r="G43" s="137" t="s">
        <v>90</v>
      </c>
      <c r="H43" s="137" t="s">
        <v>90</v>
      </c>
      <c r="I43" s="137" t="s">
        <v>90</v>
      </c>
      <c r="J43" s="137" t="s">
        <v>90</v>
      </c>
      <c r="L43" s="699" t="s">
        <v>87</v>
      </c>
    </row>
    <row r="44" spans="1:12" ht="14.25" customHeight="1" x14ac:dyDescent="0.2">
      <c r="A44" s="112" t="s">
        <v>1124</v>
      </c>
      <c r="B44" s="945">
        <v>3</v>
      </c>
      <c r="C44" s="137" t="s">
        <v>90</v>
      </c>
      <c r="D44" s="137" t="s">
        <v>90</v>
      </c>
      <c r="E44" s="137" t="s">
        <v>90</v>
      </c>
      <c r="F44" s="137" t="s">
        <v>90</v>
      </c>
      <c r="G44" s="137" t="s">
        <v>90</v>
      </c>
      <c r="H44" s="137" t="s">
        <v>90</v>
      </c>
      <c r="I44" s="137" t="s">
        <v>90</v>
      </c>
      <c r="J44" s="137" t="s">
        <v>90</v>
      </c>
      <c r="L44" s="699" t="s">
        <v>87</v>
      </c>
    </row>
    <row r="45" spans="1:12" x14ac:dyDescent="0.2">
      <c r="A45" s="146" t="s">
        <v>1125</v>
      </c>
      <c r="B45" s="234">
        <v>4</v>
      </c>
      <c r="C45" s="137" t="s">
        <v>90</v>
      </c>
      <c r="D45" s="137" t="s">
        <v>90</v>
      </c>
      <c r="E45" s="137" t="s">
        <v>90</v>
      </c>
      <c r="F45" s="137" t="s">
        <v>90</v>
      </c>
      <c r="G45" s="137" t="s">
        <v>90</v>
      </c>
      <c r="H45" s="137" t="s">
        <v>90</v>
      </c>
      <c r="I45" s="137" t="s">
        <v>90</v>
      </c>
      <c r="J45" s="137" t="s">
        <v>90</v>
      </c>
      <c r="L45" s="699" t="s">
        <v>87</v>
      </c>
    </row>
    <row r="46" spans="1:12" ht="14.25" x14ac:dyDescent="0.2">
      <c r="A46" s="946" t="s">
        <v>1126</v>
      </c>
      <c r="B46" s="234">
        <v>5</v>
      </c>
      <c r="C46" s="1470" t="str">
        <f>IF(COUNTIF(C42:D45,"-")&lt;COUNTA(C42:D45),SUM(C42:D45),"-")</f>
        <v>-</v>
      </c>
      <c r="D46" s="1471"/>
      <c r="E46" s="1470" t="str">
        <f>IF(COUNTIF(E42:F45,"-")&lt;COUNTA(E42:F45),SUM(E42:F45),"-")</f>
        <v>-</v>
      </c>
      <c r="F46" s="1471"/>
      <c r="G46" s="1470" t="str">
        <f>IF(COUNTIF(G42:H45,"-")&lt;COUNTA(G42:H45),SUM(G42:H45),"-")</f>
        <v>-</v>
      </c>
      <c r="H46" s="1471"/>
      <c r="I46" s="1470" t="str">
        <f>IF(COUNTIF(I42:J45,"-")&lt;COUNTA(I42:J45),SUM(I42:J45),"-")</f>
        <v>-</v>
      </c>
      <c r="J46" s="1471"/>
      <c r="L46" s="699" t="s">
        <v>87</v>
      </c>
    </row>
    <row r="47" spans="1:12" ht="15" x14ac:dyDescent="0.25">
      <c r="A47" s="317" t="s">
        <v>262</v>
      </c>
      <c r="B47" s="234"/>
      <c r="C47" s="947"/>
      <c r="D47" s="948"/>
      <c r="E47" s="948"/>
      <c r="F47" s="948"/>
      <c r="G47" s="948"/>
      <c r="H47" s="948"/>
      <c r="I47" s="948"/>
      <c r="J47" s="949"/>
      <c r="L47" s="699" t="s">
        <v>87</v>
      </c>
    </row>
    <row r="48" spans="1:12" x14ac:dyDescent="0.2">
      <c r="A48" s="272" t="s">
        <v>263</v>
      </c>
      <c r="B48" s="234">
        <v>6</v>
      </c>
      <c r="C48" s="1474" t="s">
        <v>90</v>
      </c>
      <c r="D48" s="1475"/>
      <c r="E48" s="1474" t="s">
        <v>90</v>
      </c>
      <c r="F48" s="1475"/>
      <c r="G48" s="1474" t="s">
        <v>90</v>
      </c>
      <c r="H48" s="1475"/>
      <c r="I48" s="1474" t="s">
        <v>90</v>
      </c>
      <c r="J48" s="1475"/>
      <c r="L48" s="699" t="s">
        <v>87</v>
      </c>
    </row>
    <row r="49" spans="1:12" x14ac:dyDescent="0.2">
      <c r="A49" s="272" t="s">
        <v>264</v>
      </c>
      <c r="B49" s="234">
        <v>7</v>
      </c>
      <c r="C49" s="1474" t="s">
        <v>90</v>
      </c>
      <c r="D49" s="1475"/>
      <c r="E49" s="1474" t="s">
        <v>90</v>
      </c>
      <c r="F49" s="1475"/>
      <c r="G49" s="1474" t="s">
        <v>90</v>
      </c>
      <c r="H49" s="1475"/>
      <c r="I49" s="1474" t="s">
        <v>90</v>
      </c>
      <c r="J49" s="1475"/>
      <c r="L49" s="699" t="s">
        <v>87</v>
      </c>
    </row>
    <row r="50" spans="1:12" x14ac:dyDescent="0.2">
      <c r="A50" s="272" t="s">
        <v>265</v>
      </c>
      <c r="B50" s="234">
        <v>8</v>
      </c>
      <c r="C50" s="1474" t="s">
        <v>90</v>
      </c>
      <c r="D50" s="1475"/>
      <c r="E50" s="1474" t="s">
        <v>90</v>
      </c>
      <c r="F50" s="1475"/>
      <c r="G50" s="1474" t="s">
        <v>90</v>
      </c>
      <c r="H50" s="1475"/>
      <c r="I50" s="1474" t="s">
        <v>90</v>
      </c>
      <c r="J50" s="1475"/>
      <c r="L50" s="699" t="s">
        <v>87</v>
      </c>
    </row>
    <row r="51" spans="1:12" x14ac:dyDescent="0.2">
      <c r="A51" s="272" t="s">
        <v>266</v>
      </c>
      <c r="B51" s="234">
        <v>9</v>
      </c>
      <c r="C51" s="1474" t="s">
        <v>90</v>
      </c>
      <c r="D51" s="1475"/>
      <c r="E51" s="1474" t="s">
        <v>90</v>
      </c>
      <c r="F51" s="1475"/>
      <c r="G51" s="1474" t="s">
        <v>90</v>
      </c>
      <c r="H51" s="1475"/>
      <c r="I51" s="1474" t="s">
        <v>90</v>
      </c>
      <c r="J51" s="1475"/>
      <c r="L51" s="699" t="s">
        <v>87</v>
      </c>
    </row>
    <row r="52" spans="1:12" x14ac:dyDescent="0.2">
      <c r="A52" s="272" t="s">
        <v>188</v>
      </c>
      <c r="B52" s="234">
        <v>10</v>
      </c>
      <c r="C52" s="1474" t="s">
        <v>90</v>
      </c>
      <c r="D52" s="1475"/>
      <c r="E52" s="1474" t="s">
        <v>90</v>
      </c>
      <c r="F52" s="1475"/>
      <c r="G52" s="1474" t="s">
        <v>90</v>
      </c>
      <c r="H52" s="1475"/>
      <c r="I52" s="1474" t="s">
        <v>90</v>
      </c>
      <c r="J52" s="1475"/>
      <c r="L52" s="699" t="s">
        <v>87</v>
      </c>
    </row>
    <row r="53" spans="1:12" x14ac:dyDescent="0.2">
      <c r="A53" s="272" t="s">
        <v>186</v>
      </c>
      <c r="B53" s="234">
        <v>11</v>
      </c>
      <c r="C53" s="1474" t="s">
        <v>90</v>
      </c>
      <c r="D53" s="1475"/>
      <c r="E53" s="1474" t="s">
        <v>90</v>
      </c>
      <c r="F53" s="1475"/>
      <c r="G53" s="1474" t="s">
        <v>90</v>
      </c>
      <c r="H53" s="1475"/>
      <c r="I53" s="1474" t="s">
        <v>90</v>
      </c>
      <c r="J53" s="1475"/>
      <c r="L53" s="699" t="s">
        <v>87</v>
      </c>
    </row>
    <row r="54" spans="1:12" x14ac:dyDescent="0.2">
      <c r="A54" s="272" t="s">
        <v>267</v>
      </c>
      <c r="B54" s="234">
        <v>12</v>
      </c>
      <c r="C54" s="1474" t="s">
        <v>90</v>
      </c>
      <c r="D54" s="1475"/>
      <c r="E54" s="1474" t="s">
        <v>90</v>
      </c>
      <c r="F54" s="1475"/>
      <c r="G54" s="1474" t="s">
        <v>90</v>
      </c>
      <c r="H54" s="1475"/>
      <c r="I54" s="1474" t="s">
        <v>90</v>
      </c>
      <c r="J54" s="1475"/>
      <c r="L54" s="699" t="s">
        <v>87</v>
      </c>
    </row>
    <row r="55" spans="1:12" ht="15" x14ac:dyDescent="0.25">
      <c r="A55" s="317" t="s">
        <v>268</v>
      </c>
      <c r="B55" s="234"/>
      <c r="C55" s="950"/>
      <c r="D55" s="951"/>
      <c r="E55" s="951"/>
      <c r="F55" s="952"/>
      <c r="G55" s="950"/>
      <c r="H55" s="951"/>
      <c r="I55" s="951"/>
      <c r="J55" s="952"/>
      <c r="L55" s="699" t="s">
        <v>87</v>
      </c>
    </row>
    <row r="56" spans="1:12" x14ac:dyDescent="0.2">
      <c r="A56" s="272" t="s">
        <v>269</v>
      </c>
      <c r="B56" s="234">
        <v>13</v>
      </c>
      <c r="C56" s="1474" t="s">
        <v>90</v>
      </c>
      <c r="D56" s="1475"/>
      <c r="E56" s="1474" t="s">
        <v>90</v>
      </c>
      <c r="F56" s="1475"/>
      <c r="G56" s="1474" t="s">
        <v>90</v>
      </c>
      <c r="H56" s="1475"/>
      <c r="I56" s="1474" t="s">
        <v>90</v>
      </c>
      <c r="J56" s="1475"/>
      <c r="L56" s="699" t="s">
        <v>87</v>
      </c>
    </row>
    <row r="57" spans="1:12" x14ac:dyDescent="0.2">
      <c r="A57" s="319" t="s">
        <v>270</v>
      </c>
      <c r="B57" s="234">
        <v>14</v>
      </c>
      <c r="C57" s="1474" t="s">
        <v>90</v>
      </c>
      <c r="D57" s="1475"/>
      <c r="E57" s="1474" t="s">
        <v>90</v>
      </c>
      <c r="F57" s="1475"/>
      <c r="G57" s="1474" t="s">
        <v>90</v>
      </c>
      <c r="H57" s="1475"/>
      <c r="I57" s="1474" t="s">
        <v>90</v>
      </c>
      <c r="J57" s="1475"/>
      <c r="L57" s="699" t="s">
        <v>87</v>
      </c>
    </row>
    <row r="58" spans="1:12" x14ac:dyDescent="0.2">
      <c r="A58" s="319" t="s">
        <v>271</v>
      </c>
      <c r="B58" s="234">
        <v>15</v>
      </c>
      <c r="C58" s="1474" t="s">
        <v>90</v>
      </c>
      <c r="D58" s="1475"/>
      <c r="E58" s="1474" t="s">
        <v>90</v>
      </c>
      <c r="F58" s="1475"/>
      <c r="G58" s="1474" t="s">
        <v>90</v>
      </c>
      <c r="H58" s="1475"/>
      <c r="I58" s="1474" t="s">
        <v>90</v>
      </c>
      <c r="J58" s="1475"/>
      <c r="L58" s="699" t="s">
        <v>87</v>
      </c>
    </row>
    <row r="59" spans="1:12" x14ac:dyDescent="0.2">
      <c r="A59" s="272" t="s">
        <v>272</v>
      </c>
      <c r="B59" s="234">
        <v>16</v>
      </c>
      <c r="C59" s="1474" t="s">
        <v>90</v>
      </c>
      <c r="D59" s="1475"/>
      <c r="E59" s="1474" t="s">
        <v>90</v>
      </c>
      <c r="F59" s="1475"/>
      <c r="G59" s="1474" t="s">
        <v>90</v>
      </c>
      <c r="H59" s="1475"/>
      <c r="I59" s="1474" t="s">
        <v>90</v>
      </c>
      <c r="J59" s="1475"/>
      <c r="L59" s="699" t="s">
        <v>87</v>
      </c>
    </row>
    <row r="60" spans="1:12" x14ac:dyDescent="0.2">
      <c r="A60" s="272" t="s">
        <v>273</v>
      </c>
      <c r="B60" s="234">
        <v>17</v>
      </c>
      <c r="C60" s="1474" t="s">
        <v>90</v>
      </c>
      <c r="D60" s="1475"/>
      <c r="E60" s="1474" t="s">
        <v>90</v>
      </c>
      <c r="F60" s="1475"/>
      <c r="G60" s="1474" t="s">
        <v>90</v>
      </c>
      <c r="H60" s="1475"/>
      <c r="I60" s="1474" t="s">
        <v>90</v>
      </c>
      <c r="J60" s="1475"/>
      <c r="L60" s="699" t="s">
        <v>87</v>
      </c>
    </row>
    <row r="61" spans="1:12" x14ac:dyDescent="0.2">
      <c r="A61" s="272" t="s">
        <v>274</v>
      </c>
      <c r="B61" s="234">
        <v>18</v>
      </c>
      <c r="C61" s="1474" t="s">
        <v>90</v>
      </c>
      <c r="D61" s="1475"/>
      <c r="E61" s="1474" t="s">
        <v>90</v>
      </c>
      <c r="F61" s="1475"/>
      <c r="G61" s="1474" t="s">
        <v>90</v>
      </c>
      <c r="H61" s="1475"/>
      <c r="I61" s="1474" t="s">
        <v>90</v>
      </c>
      <c r="J61" s="1475"/>
      <c r="L61" s="699" t="s">
        <v>87</v>
      </c>
    </row>
    <row r="62" spans="1:12" ht="14.25" x14ac:dyDescent="0.2">
      <c r="A62" s="317" t="s">
        <v>275</v>
      </c>
      <c r="B62" s="234">
        <v>19</v>
      </c>
      <c r="C62" s="1476" t="s">
        <v>90</v>
      </c>
      <c r="D62" s="1477"/>
      <c r="E62" s="1476" t="s">
        <v>90</v>
      </c>
      <c r="F62" s="1477"/>
      <c r="G62" s="1476" t="s">
        <v>90</v>
      </c>
      <c r="H62" s="1477"/>
      <c r="I62" s="1476" t="s">
        <v>90</v>
      </c>
      <c r="J62" s="1477"/>
      <c r="L62" s="699" t="s">
        <v>87</v>
      </c>
    </row>
    <row r="63" spans="1:12" ht="15" x14ac:dyDescent="0.25">
      <c r="A63" s="397" t="s">
        <v>1558</v>
      </c>
      <c r="B63" s="234">
        <v>20</v>
      </c>
      <c r="C63" s="1470">
        <f>SUM(C48:D56,C59:D62)</f>
        <v>0</v>
      </c>
      <c r="D63" s="1471"/>
      <c r="E63" s="1470">
        <f>SUM(E48:F56,E59:F62)</f>
        <v>0</v>
      </c>
      <c r="F63" s="1471"/>
      <c r="G63" s="1470">
        <f>SUM(G48:H56,G59:H62)</f>
        <v>0</v>
      </c>
      <c r="H63" s="1471"/>
      <c r="I63" s="1470">
        <f>SUM(I48:J56,I59:J62)</f>
        <v>0</v>
      </c>
      <c r="J63" s="1471"/>
      <c r="L63" s="699" t="s">
        <v>87</v>
      </c>
    </row>
    <row r="64" spans="1:12" x14ac:dyDescent="0.2">
      <c r="A64" s="230"/>
      <c r="B64" s="234"/>
      <c r="C64" s="145"/>
      <c r="D64" s="230"/>
      <c r="E64" s="230"/>
      <c r="F64" s="230"/>
      <c r="G64" s="230"/>
      <c r="H64" s="230"/>
      <c r="I64" s="230"/>
      <c r="J64" s="111"/>
      <c r="L64" s="699" t="s">
        <v>87</v>
      </c>
    </row>
    <row r="65" spans="1:12" ht="14.25" x14ac:dyDescent="0.2">
      <c r="A65" s="946" t="s">
        <v>1128</v>
      </c>
      <c r="B65" s="261">
        <v>21</v>
      </c>
      <c r="C65" s="1472" t="s">
        <v>90</v>
      </c>
      <c r="D65" s="1473"/>
      <c r="E65" s="1472" t="s">
        <v>90</v>
      </c>
      <c r="F65" s="1473"/>
      <c r="G65" s="1472" t="s">
        <v>90</v>
      </c>
      <c r="H65" s="1473"/>
      <c r="I65" s="1472" t="s">
        <v>90</v>
      </c>
      <c r="J65" s="1473"/>
      <c r="L65" s="699" t="s">
        <v>87</v>
      </c>
    </row>
    <row r="66" spans="1:12" x14ac:dyDescent="0.2">
      <c r="L66" s="699" t="s">
        <v>87</v>
      </c>
    </row>
    <row r="67" spans="1:12" x14ac:dyDescent="0.2">
      <c r="A67" s="699" t="s">
        <v>87</v>
      </c>
      <c r="B67" s="699" t="s">
        <v>87</v>
      </c>
      <c r="C67" s="699" t="s">
        <v>87</v>
      </c>
      <c r="D67" s="699" t="s">
        <v>87</v>
      </c>
      <c r="E67" s="699" t="s">
        <v>87</v>
      </c>
      <c r="F67" s="699" t="s">
        <v>87</v>
      </c>
      <c r="G67" s="699" t="s">
        <v>87</v>
      </c>
      <c r="H67" s="699" t="s">
        <v>87</v>
      </c>
      <c r="I67" s="699" t="s">
        <v>87</v>
      </c>
      <c r="J67" s="699" t="s">
        <v>87</v>
      </c>
      <c r="K67" s="699" t="s">
        <v>87</v>
      </c>
      <c r="L67" s="699" t="s">
        <v>87</v>
      </c>
    </row>
  </sheetData>
  <mergeCells count="112">
    <mergeCell ref="C7:D7"/>
    <mergeCell ref="E7:F7"/>
    <mergeCell ref="G7:H7"/>
    <mergeCell ref="C8:D8"/>
    <mergeCell ref="C17:D17"/>
    <mergeCell ref="E17:F17"/>
    <mergeCell ref="E4:F4"/>
    <mergeCell ref="G4:H4"/>
    <mergeCell ref="G5:H5"/>
    <mergeCell ref="C6:D6"/>
    <mergeCell ref="E6:F6"/>
    <mergeCell ref="G6:H6"/>
    <mergeCell ref="C22:D22"/>
    <mergeCell ref="E22:F22"/>
    <mergeCell ref="C23:D23"/>
    <mergeCell ref="E23:F23"/>
    <mergeCell ref="C24:D24"/>
    <mergeCell ref="E24:F24"/>
    <mergeCell ref="C19:D19"/>
    <mergeCell ref="E19:F19"/>
    <mergeCell ref="C20:D20"/>
    <mergeCell ref="E20:F20"/>
    <mergeCell ref="C21:D21"/>
    <mergeCell ref="E21:F21"/>
    <mergeCell ref="C29:D29"/>
    <mergeCell ref="E29:F29"/>
    <mergeCell ref="C30:D30"/>
    <mergeCell ref="E30:F30"/>
    <mergeCell ref="C31:D31"/>
    <mergeCell ref="E31:F31"/>
    <mergeCell ref="C25:D25"/>
    <mergeCell ref="E25:F25"/>
    <mergeCell ref="C27:D27"/>
    <mergeCell ref="E27:F27"/>
    <mergeCell ref="C28:D28"/>
    <mergeCell ref="E28:F28"/>
    <mergeCell ref="C36:D36"/>
    <mergeCell ref="E36:F36"/>
    <mergeCell ref="C46:D46"/>
    <mergeCell ref="E46:F46"/>
    <mergeCell ref="G46:H46"/>
    <mergeCell ref="I46:J46"/>
    <mergeCell ref="C32:D32"/>
    <mergeCell ref="E32:F32"/>
    <mergeCell ref="C33:D33"/>
    <mergeCell ref="E33:F33"/>
    <mergeCell ref="C34:D34"/>
    <mergeCell ref="E34:F34"/>
    <mergeCell ref="C50:D50"/>
    <mergeCell ref="E50:F50"/>
    <mergeCell ref="G50:H50"/>
    <mergeCell ref="I50:J50"/>
    <mergeCell ref="C51:D51"/>
    <mergeCell ref="E51:F51"/>
    <mergeCell ref="G51:H51"/>
    <mergeCell ref="I51:J51"/>
    <mergeCell ref="C48:D48"/>
    <mergeCell ref="E48:F48"/>
    <mergeCell ref="G48:H48"/>
    <mergeCell ref="I48:J48"/>
    <mergeCell ref="C49:D49"/>
    <mergeCell ref="E49:F49"/>
    <mergeCell ref="G49:H49"/>
    <mergeCell ref="I49:J49"/>
    <mergeCell ref="C54:D54"/>
    <mergeCell ref="E54:F54"/>
    <mergeCell ref="G54:H54"/>
    <mergeCell ref="I54:J54"/>
    <mergeCell ref="C56:D56"/>
    <mergeCell ref="E56:F56"/>
    <mergeCell ref="G56:H56"/>
    <mergeCell ref="I56:J56"/>
    <mergeCell ref="C52:D52"/>
    <mergeCell ref="E52:F52"/>
    <mergeCell ref="G52:H52"/>
    <mergeCell ref="I52:J52"/>
    <mergeCell ref="C53:D53"/>
    <mergeCell ref="E53:F53"/>
    <mergeCell ref="G53:H53"/>
    <mergeCell ref="I53:J53"/>
    <mergeCell ref="C59:D59"/>
    <mergeCell ref="E59:F59"/>
    <mergeCell ref="G59:H59"/>
    <mergeCell ref="I59:J59"/>
    <mergeCell ref="C60:D60"/>
    <mergeCell ref="E60:F60"/>
    <mergeCell ref="G60:H60"/>
    <mergeCell ref="I60:J60"/>
    <mergeCell ref="C57:D57"/>
    <mergeCell ref="E57:F57"/>
    <mergeCell ref="G57:H57"/>
    <mergeCell ref="I57:J57"/>
    <mergeCell ref="C58:D58"/>
    <mergeCell ref="E58:F58"/>
    <mergeCell ref="G58:H58"/>
    <mergeCell ref="I58:J58"/>
    <mergeCell ref="C63:D63"/>
    <mergeCell ref="E63:F63"/>
    <mergeCell ref="G63:H63"/>
    <mergeCell ref="I63:J63"/>
    <mergeCell ref="C65:D65"/>
    <mergeCell ref="E65:F65"/>
    <mergeCell ref="G65:H65"/>
    <mergeCell ref="I65:J65"/>
    <mergeCell ref="C61:D61"/>
    <mergeCell ref="E61:F61"/>
    <mergeCell ref="G61:H61"/>
    <mergeCell ref="I61:J61"/>
    <mergeCell ref="C62:D62"/>
    <mergeCell ref="E62:F62"/>
    <mergeCell ref="G62:H62"/>
    <mergeCell ref="I62:J62"/>
  </mergeCells>
  <pageMargins left="0.23622047244094491" right="0.23622047244094491" top="0.74803149606299213" bottom="0.74803149606299213" header="0.31496062992125984" footer="0.31496062992125984"/>
  <pageSetup paperSize="9" scale="99" fitToHeight="0" orientation="landscape" horizontalDpi="300" verticalDpi="300" r:id="rId1"/>
  <headerFooter>
    <oddFooter>&amp;F&amp;RPage &amp;P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rgb="FFFFC000"/>
  </sheetPr>
  <dimension ref="A1:J80"/>
  <sheetViews>
    <sheetView workbookViewId="0"/>
  </sheetViews>
  <sheetFormatPr defaultRowHeight="12.75" x14ac:dyDescent="0.2"/>
  <cols>
    <col min="2" max="2" width="24.28515625" customWidth="1"/>
    <col min="3" max="3" width="4.42578125" customWidth="1"/>
    <col min="4" max="4" width="18.5703125" customWidth="1"/>
    <col min="5" max="5" width="15.140625" customWidth="1"/>
    <col min="6" max="6" width="16.85546875" customWidth="1"/>
    <col min="7" max="7" width="10.5703125" customWidth="1"/>
    <col min="8" max="8" width="17.42578125" customWidth="1"/>
    <col min="9" max="10" width="2.28515625" customWidth="1"/>
  </cols>
  <sheetData>
    <row r="1" spans="1:10" x14ac:dyDescent="0.2">
      <c r="A1" s="93" t="str">
        <f>FT15.Participant!$A$1</f>
        <v>&lt;IAIG's Name&gt;</v>
      </c>
      <c r="B1" s="94"/>
      <c r="C1" s="94"/>
      <c r="D1" s="94"/>
      <c r="E1" s="94"/>
      <c r="F1" s="94"/>
      <c r="G1" s="94"/>
      <c r="H1" s="95" t="str">
        <f ca="1">HYPERLINK("#"&amp;CELL("address",FT15.IndexSheet),Version)</f>
        <v>2015 IAIS Field Testing Template</v>
      </c>
      <c r="J1" s="699" t="s">
        <v>87</v>
      </c>
    </row>
    <row r="2" spans="1:10" ht="15" x14ac:dyDescent="0.25">
      <c r="A2" s="97" t="str">
        <f>FT15.Participant!$A$2</f>
        <v>&lt;Currency&gt; - (&lt;Unit&gt;)</v>
      </c>
      <c r="B2" s="99"/>
      <c r="C2" s="98" t="s">
        <v>1559</v>
      </c>
      <c r="D2" s="99"/>
      <c r="E2" s="99"/>
      <c r="F2" s="99"/>
      <c r="G2" s="99"/>
      <c r="H2" s="100" t="str">
        <f>FT15.Participant!$E$2</f>
        <v xml:space="preserve">&lt;Reporting Date&gt; - </v>
      </c>
      <c r="J2" s="699" t="s">
        <v>87</v>
      </c>
    </row>
    <row r="3" spans="1:10" x14ac:dyDescent="0.2">
      <c r="J3" s="699" t="s">
        <v>87</v>
      </c>
    </row>
    <row r="4" spans="1:10" ht="19.899999999999999" customHeight="1" x14ac:dyDescent="0.2">
      <c r="D4" s="1554" t="s">
        <v>1560</v>
      </c>
      <c r="E4" s="1554"/>
      <c r="F4" s="1554"/>
      <c r="J4" s="699" t="s">
        <v>87</v>
      </c>
    </row>
    <row r="5" spans="1:10" ht="60" x14ac:dyDescent="0.2">
      <c r="A5" s="1149" t="s">
        <v>1561</v>
      </c>
      <c r="B5" s="1149" t="s">
        <v>1336</v>
      </c>
      <c r="C5" s="1149"/>
      <c r="D5" s="823" t="s">
        <v>1562</v>
      </c>
      <c r="E5" s="823" t="s">
        <v>1563</v>
      </c>
      <c r="F5" s="823" t="s">
        <v>1564</v>
      </c>
      <c r="G5" s="1553" t="s">
        <v>1565</v>
      </c>
      <c r="H5" s="1553"/>
      <c r="J5" s="699" t="s">
        <v>87</v>
      </c>
    </row>
    <row r="6" spans="1:10" x14ac:dyDescent="0.2">
      <c r="A6" s="493"/>
      <c r="B6" s="167">
        <v>1</v>
      </c>
      <c r="C6" s="972">
        <v>175</v>
      </c>
      <c r="D6" s="167">
        <v>2</v>
      </c>
      <c r="E6" s="167">
        <v>3</v>
      </c>
      <c r="F6" s="167">
        <v>4</v>
      </c>
      <c r="G6" s="167">
        <v>5</v>
      </c>
      <c r="H6" s="214">
        <v>6</v>
      </c>
      <c r="J6" s="699" t="s">
        <v>87</v>
      </c>
    </row>
    <row r="7" spans="1:10" ht="14.25" x14ac:dyDescent="0.2">
      <c r="A7" s="1555" t="s">
        <v>1566</v>
      </c>
      <c r="B7" s="401" t="s">
        <v>724</v>
      </c>
      <c r="C7" s="169">
        <v>1</v>
      </c>
      <c r="D7" s="1378" t="s">
        <v>90</v>
      </c>
      <c r="E7" s="144" t="s">
        <v>90</v>
      </c>
      <c r="F7" s="1379" t="s">
        <v>90</v>
      </c>
      <c r="G7" s="208" t="s">
        <v>1165</v>
      </c>
      <c r="H7" s="1380" t="s">
        <v>1567</v>
      </c>
      <c r="J7" s="699" t="s">
        <v>87</v>
      </c>
    </row>
    <row r="8" spans="1:10" ht="14.25" x14ac:dyDescent="0.2">
      <c r="A8" s="1556"/>
      <c r="B8" s="401" t="s">
        <v>1568</v>
      </c>
      <c r="C8" s="169">
        <v>2</v>
      </c>
      <c r="D8" s="1378" t="s">
        <v>90</v>
      </c>
      <c r="E8" s="144" t="s">
        <v>90</v>
      </c>
      <c r="F8" s="1379" t="s">
        <v>90</v>
      </c>
      <c r="G8" s="208" t="s">
        <v>1171</v>
      </c>
      <c r="H8" s="1380" t="s">
        <v>1569</v>
      </c>
      <c r="J8" s="699" t="s">
        <v>87</v>
      </c>
    </row>
    <row r="9" spans="1:10" ht="14.25" x14ac:dyDescent="0.2">
      <c r="A9" s="1556"/>
      <c r="B9" s="401" t="s">
        <v>1570</v>
      </c>
      <c r="C9" s="169">
        <v>3</v>
      </c>
      <c r="D9" s="1378" t="s">
        <v>90</v>
      </c>
      <c r="E9" s="144" t="s">
        <v>90</v>
      </c>
      <c r="F9" s="1379" t="s">
        <v>90</v>
      </c>
      <c r="G9" s="208" t="s">
        <v>1175</v>
      </c>
      <c r="H9" s="1380" t="s">
        <v>1571</v>
      </c>
      <c r="J9" s="699" t="s">
        <v>87</v>
      </c>
    </row>
    <row r="10" spans="1:10" ht="14.25" x14ac:dyDescent="0.2">
      <c r="A10" s="1556"/>
      <c r="B10" s="401" t="s">
        <v>723</v>
      </c>
      <c r="C10" s="169">
        <v>4</v>
      </c>
      <c r="D10" s="1378" t="s">
        <v>90</v>
      </c>
      <c r="E10" s="144" t="s">
        <v>90</v>
      </c>
      <c r="F10" s="1379" t="s">
        <v>90</v>
      </c>
      <c r="G10" s="208" t="s">
        <v>1176</v>
      </c>
      <c r="H10" s="1380" t="s">
        <v>1572</v>
      </c>
      <c r="J10" s="699" t="s">
        <v>87</v>
      </c>
    </row>
    <row r="11" spans="1:10" ht="14.25" x14ac:dyDescent="0.2">
      <c r="A11" s="1556"/>
      <c r="B11" s="401" t="s">
        <v>1573</v>
      </c>
      <c r="C11" s="169">
        <v>5</v>
      </c>
      <c r="D11" s="1378" t="s">
        <v>90</v>
      </c>
      <c r="E11" s="144" t="s">
        <v>90</v>
      </c>
      <c r="F11" s="1379" t="s">
        <v>90</v>
      </c>
      <c r="G11" s="208" t="s">
        <v>1179</v>
      </c>
      <c r="H11" s="1380" t="s">
        <v>1574</v>
      </c>
      <c r="J11" s="699" t="s">
        <v>87</v>
      </c>
    </row>
    <row r="12" spans="1:10" ht="14.25" x14ac:dyDescent="0.2">
      <c r="A12" s="1556"/>
      <c r="B12" s="401" t="s">
        <v>902</v>
      </c>
      <c r="C12" s="169">
        <v>6</v>
      </c>
      <c r="D12" s="1378" t="s">
        <v>90</v>
      </c>
      <c r="E12" s="144" t="s">
        <v>90</v>
      </c>
      <c r="F12" s="1379" t="s">
        <v>90</v>
      </c>
      <c r="G12" s="208" t="s">
        <v>1189</v>
      </c>
      <c r="H12" s="1380" t="s">
        <v>1575</v>
      </c>
      <c r="J12" s="699" t="s">
        <v>87</v>
      </c>
    </row>
    <row r="13" spans="1:10" ht="14.25" x14ac:dyDescent="0.2">
      <c r="A13" s="1556"/>
      <c r="B13" s="401" t="s">
        <v>1576</v>
      </c>
      <c r="C13" s="169">
        <v>7</v>
      </c>
      <c r="D13" s="1378" t="s">
        <v>90</v>
      </c>
      <c r="E13" s="144" t="s">
        <v>90</v>
      </c>
      <c r="F13" s="1379" t="s">
        <v>90</v>
      </c>
      <c r="G13" s="208" t="s">
        <v>1177</v>
      </c>
      <c r="H13" s="1380" t="s">
        <v>1577</v>
      </c>
      <c r="J13" s="699" t="s">
        <v>87</v>
      </c>
    </row>
    <row r="14" spans="1:10" ht="14.25" x14ac:dyDescent="0.2">
      <c r="A14" s="1556"/>
      <c r="B14" s="401" t="s">
        <v>1578</v>
      </c>
      <c r="C14" s="169">
        <v>8</v>
      </c>
      <c r="D14" s="1378" t="s">
        <v>90</v>
      </c>
      <c r="E14" s="144" t="s">
        <v>90</v>
      </c>
      <c r="F14" s="1379" t="s">
        <v>90</v>
      </c>
      <c r="G14" s="208" t="s">
        <v>1190</v>
      </c>
      <c r="H14" s="1380" t="s">
        <v>1579</v>
      </c>
      <c r="J14" s="699" t="s">
        <v>87</v>
      </c>
    </row>
    <row r="15" spans="1:10" ht="14.25" x14ac:dyDescent="0.2">
      <c r="A15" s="1556"/>
      <c r="B15" s="401" t="s">
        <v>1580</v>
      </c>
      <c r="C15" s="169">
        <v>9</v>
      </c>
      <c r="D15" s="1378" t="s">
        <v>90</v>
      </c>
      <c r="E15" s="144" t="s">
        <v>90</v>
      </c>
      <c r="F15" s="1379" t="s">
        <v>90</v>
      </c>
      <c r="G15" s="208" t="s">
        <v>1191</v>
      </c>
      <c r="H15" s="1380" t="s">
        <v>1581</v>
      </c>
      <c r="J15" s="699" t="s">
        <v>87</v>
      </c>
    </row>
    <row r="16" spans="1:10" ht="15" x14ac:dyDescent="0.25">
      <c r="A16" s="1556"/>
      <c r="B16" s="980" t="s">
        <v>1582</v>
      </c>
      <c r="C16" s="1381"/>
      <c r="D16" s="1382"/>
      <c r="E16" s="1382"/>
      <c r="F16" s="1383"/>
      <c r="G16" s="401"/>
      <c r="H16" s="102"/>
      <c r="J16" s="699" t="s">
        <v>87</v>
      </c>
    </row>
    <row r="17" spans="1:10" x14ac:dyDescent="0.2">
      <c r="A17" s="1556"/>
      <c r="B17" s="1384"/>
      <c r="C17" s="234">
        <v>10</v>
      </c>
      <c r="D17" s="144" t="s">
        <v>90</v>
      </c>
      <c r="E17" s="144" t="s">
        <v>90</v>
      </c>
      <c r="F17" s="144" t="s">
        <v>90</v>
      </c>
      <c r="G17" s="1385"/>
      <c r="H17" s="1385"/>
      <c r="J17" s="699" t="s">
        <v>87</v>
      </c>
    </row>
    <row r="18" spans="1:10" x14ac:dyDescent="0.2">
      <c r="A18" s="1556"/>
      <c r="B18" s="1384"/>
      <c r="C18" s="234">
        <v>11</v>
      </c>
      <c r="D18" s="144" t="s">
        <v>90</v>
      </c>
      <c r="E18" s="144" t="s">
        <v>90</v>
      </c>
      <c r="F18" s="144" t="s">
        <v>90</v>
      </c>
      <c r="G18" s="1385"/>
      <c r="H18" s="1385"/>
      <c r="J18" s="699" t="s">
        <v>87</v>
      </c>
    </row>
    <row r="19" spans="1:10" x14ac:dyDescent="0.2">
      <c r="A19" s="1556"/>
      <c r="B19" s="1384"/>
      <c r="C19" s="234">
        <v>12</v>
      </c>
      <c r="D19" s="144" t="s">
        <v>90</v>
      </c>
      <c r="E19" s="144" t="s">
        <v>90</v>
      </c>
      <c r="F19" s="144" t="s">
        <v>90</v>
      </c>
      <c r="G19" s="1385"/>
      <c r="H19" s="1385"/>
      <c r="J19" s="699" t="s">
        <v>87</v>
      </c>
    </row>
    <row r="20" spans="1:10" x14ac:dyDescent="0.2">
      <c r="A20" s="1556"/>
      <c r="B20" s="1384"/>
      <c r="C20" s="234">
        <v>13</v>
      </c>
      <c r="D20" s="144" t="s">
        <v>90</v>
      </c>
      <c r="E20" s="144" t="s">
        <v>90</v>
      </c>
      <c r="F20" s="144" t="s">
        <v>90</v>
      </c>
      <c r="G20" s="1385"/>
      <c r="H20" s="1385"/>
      <c r="J20" s="699" t="s">
        <v>87</v>
      </c>
    </row>
    <row r="21" spans="1:10" x14ac:dyDescent="0.2">
      <c r="A21" s="1556"/>
      <c r="B21" s="1386"/>
      <c r="C21" s="234">
        <v>14</v>
      </c>
      <c r="D21" s="144" t="s">
        <v>90</v>
      </c>
      <c r="E21" s="144" t="s">
        <v>90</v>
      </c>
      <c r="F21" s="144" t="s">
        <v>90</v>
      </c>
      <c r="G21" s="1387"/>
      <c r="H21" s="1387"/>
      <c r="J21" s="699" t="s">
        <v>87</v>
      </c>
    </row>
    <row r="22" spans="1:10" x14ac:dyDescent="0.2">
      <c r="A22" s="1557" t="s">
        <v>976</v>
      </c>
      <c r="B22" s="640" t="s">
        <v>1583</v>
      </c>
      <c r="C22" s="234">
        <v>15</v>
      </c>
      <c r="D22" s="144" t="s">
        <v>90</v>
      </c>
      <c r="E22" s="144" t="s">
        <v>90</v>
      </c>
      <c r="F22" s="144" t="s">
        <v>90</v>
      </c>
      <c r="G22" s="1409" t="s">
        <v>1169</v>
      </c>
      <c r="H22" s="1562" t="s">
        <v>1427</v>
      </c>
      <c r="J22" s="699" t="s">
        <v>87</v>
      </c>
    </row>
    <row r="23" spans="1:10" x14ac:dyDescent="0.2">
      <c r="A23" s="1558"/>
      <c r="B23" s="640" t="s">
        <v>1584</v>
      </c>
      <c r="C23" s="234">
        <v>16</v>
      </c>
      <c r="D23" s="144" t="s">
        <v>90</v>
      </c>
      <c r="E23" s="144" t="s">
        <v>90</v>
      </c>
      <c r="F23" s="144" t="s">
        <v>90</v>
      </c>
      <c r="G23" s="1560"/>
      <c r="H23" s="1562"/>
      <c r="J23" s="699" t="s">
        <v>87</v>
      </c>
    </row>
    <row r="24" spans="1:10" x14ac:dyDescent="0.2">
      <c r="A24" s="1558"/>
      <c r="B24" s="640" t="s">
        <v>1585</v>
      </c>
      <c r="C24" s="234">
        <v>17</v>
      </c>
      <c r="D24" s="144" t="s">
        <v>90</v>
      </c>
      <c r="E24" s="144" t="s">
        <v>90</v>
      </c>
      <c r="F24" s="144" t="s">
        <v>90</v>
      </c>
      <c r="G24" s="1560"/>
      <c r="H24" s="1562"/>
      <c r="J24" s="699" t="s">
        <v>87</v>
      </c>
    </row>
    <row r="25" spans="1:10" x14ac:dyDescent="0.2">
      <c r="A25" s="1558"/>
      <c r="B25" s="640" t="s">
        <v>1586</v>
      </c>
      <c r="C25" s="945">
        <v>18</v>
      </c>
      <c r="D25" s="144" t="s">
        <v>90</v>
      </c>
      <c r="E25" s="144" t="s">
        <v>90</v>
      </c>
      <c r="F25" s="144" t="s">
        <v>90</v>
      </c>
      <c r="G25" s="1560"/>
      <c r="H25" s="1562"/>
      <c r="J25" s="699" t="s">
        <v>87</v>
      </c>
    </row>
    <row r="26" spans="1:10" x14ac:dyDescent="0.2">
      <c r="A26" s="1558"/>
      <c r="B26" s="640" t="s">
        <v>1587</v>
      </c>
      <c r="C26" s="945">
        <v>19</v>
      </c>
      <c r="D26" s="144" t="s">
        <v>90</v>
      </c>
      <c r="E26" s="144" t="s">
        <v>90</v>
      </c>
      <c r="F26" s="144" t="s">
        <v>90</v>
      </c>
      <c r="G26" s="1560"/>
      <c r="H26" s="1562"/>
      <c r="J26" s="699" t="s">
        <v>87</v>
      </c>
    </row>
    <row r="27" spans="1:10" x14ac:dyDescent="0.2">
      <c r="A27" s="1558"/>
      <c r="B27" s="640" t="s">
        <v>1588</v>
      </c>
      <c r="C27" s="945">
        <v>20</v>
      </c>
      <c r="D27" s="144" t="s">
        <v>90</v>
      </c>
      <c r="E27" s="144" t="s">
        <v>90</v>
      </c>
      <c r="F27" s="144" t="s">
        <v>90</v>
      </c>
      <c r="G27" s="1560"/>
      <c r="H27" s="1562"/>
      <c r="J27" s="699" t="s">
        <v>87</v>
      </c>
    </row>
    <row r="28" spans="1:10" x14ac:dyDescent="0.2">
      <c r="A28" s="1558"/>
      <c r="B28" s="640" t="s">
        <v>1589</v>
      </c>
      <c r="C28" s="945">
        <v>21</v>
      </c>
      <c r="D28" s="144" t="s">
        <v>90</v>
      </c>
      <c r="E28" s="144" t="s">
        <v>90</v>
      </c>
      <c r="F28" s="144" t="s">
        <v>90</v>
      </c>
      <c r="G28" s="1560"/>
      <c r="H28" s="1562"/>
      <c r="J28" s="699" t="s">
        <v>87</v>
      </c>
    </row>
    <row r="29" spans="1:10" x14ac:dyDescent="0.2">
      <c r="A29" s="1558"/>
      <c r="B29" s="640" t="s">
        <v>1590</v>
      </c>
      <c r="C29" s="945">
        <v>22</v>
      </c>
      <c r="D29" s="144" t="s">
        <v>90</v>
      </c>
      <c r="E29" s="144" t="s">
        <v>90</v>
      </c>
      <c r="F29" s="144" t="s">
        <v>90</v>
      </c>
      <c r="G29" s="1560"/>
      <c r="H29" s="1562"/>
      <c r="J29" s="699" t="s">
        <v>87</v>
      </c>
    </row>
    <row r="30" spans="1:10" x14ac:dyDescent="0.2">
      <c r="A30" s="1558"/>
      <c r="B30" s="640" t="s">
        <v>1591</v>
      </c>
      <c r="C30" s="945">
        <v>23</v>
      </c>
      <c r="D30" s="144" t="s">
        <v>90</v>
      </c>
      <c r="E30" s="144" t="s">
        <v>90</v>
      </c>
      <c r="F30" s="144" t="s">
        <v>90</v>
      </c>
      <c r="G30" s="1560"/>
      <c r="H30" s="1562"/>
      <c r="J30" s="699" t="s">
        <v>87</v>
      </c>
    </row>
    <row r="31" spans="1:10" x14ac:dyDescent="0.2">
      <c r="A31" s="1558"/>
      <c r="B31" s="640" t="s">
        <v>1592</v>
      </c>
      <c r="C31" s="945">
        <v>24</v>
      </c>
      <c r="D31" s="144" t="s">
        <v>90</v>
      </c>
      <c r="E31" s="144" t="s">
        <v>90</v>
      </c>
      <c r="F31" s="144" t="s">
        <v>90</v>
      </c>
      <c r="G31" s="1560"/>
      <c r="H31" s="1562"/>
      <c r="J31" s="699" t="s">
        <v>87</v>
      </c>
    </row>
    <row r="32" spans="1:10" x14ac:dyDescent="0.2">
      <c r="A32" s="1558"/>
      <c r="B32" s="640" t="s">
        <v>1593</v>
      </c>
      <c r="C32" s="945">
        <v>25</v>
      </c>
      <c r="D32" s="144" t="s">
        <v>90</v>
      </c>
      <c r="E32" s="144" t="s">
        <v>90</v>
      </c>
      <c r="F32" s="144" t="s">
        <v>90</v>
      </c>
      <c r="G32" s="1560"/>
      <c r="H32" s="1562"/>
      <c r="J32" s="699" t="s">
        <v>87</v>
      </c>
    </row>
    <row r="33" spans="1:10" x14ac:dyDescent="0.2">
      <c r="A33" s="1558"/>
      <c r="B33" s="640" t="s">
        <v>1594</v>
      </c>
      <c r="C33" s="945">
        <v>26</v>
      </c>
      <c r="D33" s="144" t="s">
        <v>90</v>
      </c>
      <c r="E33" s="144" t="s">
        <v>90</v>
      </c>
      <c r="F33" s="144" t="s">
        <v>90</v>
      </c>
      <c r="G33" s="1560"/>
      <c r="H33" s="1562"/>
      <c r="J33" s="699" t="s">
        <v>87</v>
      </c>
    </row>
    <row r="34" spans="1:10" x14ac:dyDescent="0.2">
      <c r="A34" s="1558"/>
      <c r="B34" s="640" t="s">
        <v>1595</v>
      </c>
      <c r="C34" s="945">
        <v>27</v>
      </c>
      <c r="D34" s="144" t="s">
        <v>90</v>
      </c>
      <c r="E34" s="144" t="s">
        <v>90</v>
      </c>
      <c r="F34" s="144" t="s">
        <v>90</v>
      </c>
      <c r="G34" s="1561"/>
      <c r="H34" s="1562"/>
      <c r="J34" s="699" t="s">
        <v>87</v>
      </c>
    </row>
    <row r="35" spans="1:10" ht="14.25" x14ac:dyDescent="0.2">
      <c r="A35" s="1558"/>
      <c r="B35" s="640" t="s">
        <v>1596</v>
      </c>
      <c r="C35" s="945">
        <v>28</v>
      </c>
      <c r="D35" s="144" t="s">
        <v>90</v>
      </c>
      <c r="E35" s="144" t="s">
        <v>90</v>
      </c>
      <c r="F35" s="144" t="s">
        <v>90</v>
      </c>
      <c r="G35" s="208" t="s">
        <v>1597</v>
      </c>
      <c r="H35" s="640" t="s">
        <v>1598</v>
      </c>
      <c r="J35" s="699" t="s">
        <v>87</v>
      </c>
    </row>
    <row r="36" spans="1:10" ht="14.25" x14ac:dyDescent="0.2">
      <c r="A36" s="1558"/>
      <c r="B36" s="640" t="s">
        <v>1599</v>
      </c>
      <c r="C36" s="945">
        <v>29</v>
      </c>
      <c r="D36" s="144" t="s">
        <v>90</v>
      </c>
      <c r="E36" s="144" t="s">
        <v>90</v>
      </c>
      <c r="F36" s="144" t="s">
        <v>90</v>
      </c>
      <c r="G36" s="208" t="s">
        <v>1600</v>
      </c>
      <c r="H36" s="640" t="s">
        <v>1601</v>
      </c>
      <c r="J36" s="699" t="s">
        <v>87</v>
      </c>
    </row>
    <row r="37" spans="1:10" ht="14.25" x14ac:dyDescent="0.2">
      <c r="A37" s="1558"/>
      <c r="B37" s="640" t="s">
        <v>1602</v>
      </c>
      <c r="C37" s="945">
        <v>30</v>
      </c>
      <c r="D37" s="144" t="s">
        <v>90</v>
      </c>
      <c r="E37" s="144" t="s">
        <v>90</v>
      </c>
      <c r="F37" s="144" t="s">
        <v>90</v>
      </c>
      <c r="G37" s="208" t="s">
        <v>1167</v>
      </c>
      <c r="H37" s="640" t="s">
        <v>1603</v>
      </c>
      <c r="J37" s="699" t="s">
        <v>87</v>
      </c>
    </row>
    <row r="38" spans="1:10" ht="14.25" x14ac:dyDescent="0.2">
      <c r="A38" s="1558"/>
      <c r="B38" s="640" t="s">
        <v>1604</v>
      </c>
      <c r="C38" s="945">
        <v>31</v>
      </c>
      <c r="D38" s="144" t="s">
        <v>90</v>
      </c>
      <c r="E38" s="144" t="s">
        <v>90</v>
      </c>
      <c r="F38" s="144" t="s">
        <v>90</v>
      </c>
      <c r="G38" s="208" t="s">
        <v>1170</v>
      </c>
      <c r="H38" s="640" t="s">
        <v>1605</v>
      </c>
      <c r="J38" s="699" t="s">
        <v>87</v>
      </c>
    </row>
    <row r="39" spans="1:10" ht="14.25" x14ac:dyDescent="0.2">
      <c r="A39" s="1558"/>
      <c r="B39" s="640" t="s">
        <v>1606</v>
      </c>
      <c r="C39" s="945">
        <v>32</v>
      </c>
      <c r="D39" s="144" t="s">
        <v>90</v>
      </c>
      <c r="E39" s="144" t="s">
        <v>90</v>
      </c>
      <c r="F39" s="144" t="s">
        <v>90</v>
      </c>
      <c r="G39" s="208" t="s">
        <v>1172</v>
      </c>
      <c r="H39" s="640" t="s">
        <v>1607</v>
      </c>
      <c r="J39" s="699" t="s">
        <v>87</v>
      </c>
    </row>
    <row r="40" spans="1:10" ht="14.25" x14ac:dyDescent="0.2">
      <c r="A40" s="1558"/>
      <c r="B40" s="640" t="s">
        <v>1608</v>
      </c>
      <c r="C40" s="945">
        <v>33</v>
      </c>
      <c r="D40" s="144" t="s">
        <v>90</v>
      </c>
      <c r="E40" s="144" t="s">
        <v>90</v>
      </c>
      <c r="F40" s="144" t="s">
        <v>90</v>
      </c>
      <c r="G40" s="208" t="s">
        <v>1180</v>
      </c>
      <c r="H40" s="640" t="s">
        <v>1609</v>
      </c>
      <c r="J40" s="699" t="s">
        <v>87</v>
      </c>
    </row>
    <row r="41" spans="1:10" ht="14.25" x14ac:dyDescent="0.2">
      <c r="A41" s="1558"/>
      <c r="B41" s="640" t="s">
        <v>1610</v>
      </c>
      <c r="C41" s="945">
        <v>34</v>
      </c>
      <c r="D41" s="144" t="s">
        <v>90</v>
      </c>
      <c r="E41" s="144" t="s">
        <v>90</v>
      </c>
      <c r="F41" s="144" t="s">
        <v>90</v>
      </c>
      <c r="G41" s="208" t="s">
        <v>1184</v>
      </c>
      <c r="H41" s="640" t="s">
        <v>1611</v>
      </c>
      <c r="J41" s="699" t="s">
        <v>87</v>
      </c>
    </row>
    <row r="42" spans="1:10" ht="14.25" x14ac:dyDescent="0.2">
      <c r="A42" s="1558"/>
      <c r="B42" s="640" t="s">
        <v>1612</v>
      </c>
      <c r="C42" s="945">
        <v>35</v>
      </c>
      <c r="D42" s="144" t="s">
        <v>90</v>
      </c>
      <c r="E42" s="144" t="s">
        <v>90</v>
      </c>
      <c r="F42" s="144" t="s">
        <v>90</v>
      </c>
      <c r="G42" s="208" t="s">
        <v>1185</v>
      </c>
      <c r="H42" s="640" t="s">
        <v>1613</v>
      </c>
      <c r="J42" s="699" t="s">
        <v>87</v>
      </c>
    </row>
    <row r="43" spans="1:10" ht="14.25" x14ac:dyDescent="0.2">
      <c r="A43" s="1558"/>
      <c r="B43" s="640" t="s">
        <v>1614</v>
      </c>
      <c r="C43" s="945">
        <v>36</v>
      </c>
      <c r="D43" s="144" t="s">
        <v>90</v>
      </c>
      <c r="E43" s="144" t="s">
        <v>90</v>
      </c>
      <c r="F43" s="144" t="s">
        <v>90</v>
      </c>
      <c r="G43" s="208" t="s">
        <v>1186</v>
      </c>
      <c r="H43" s="640" t="s">
        <v>1615</v>
      </c>
      <c r="J43" s="699" t="s">
        <v>87</v>
      </c>
    </row>
    <row r="44" spans="1:10" ht="14.25" x14ac:dyDescent="0.2">
      <c r="A44" s="1558"/>
      <c r="B44" s="640" t="s">
        <v>1616</v>
      </c>
      <c r="C44" s="945">
        <v>37</v>
      </c>
      <c r="D44" s="144" t="s">
        <v>90</v>
      </c>
      <c r="E44" s="144" t="s">
        <v>90</v>
      </c>
      <c r="F44" s="144" t="s">
        <v>90</v>
      </c>
      <c r="G44" s="208" t="s">
        <v>1188</v>
      </c>
      <c r="H44" s="640" t="s">
        <v>1617</v>
      </c>
      <c r="J44" s="699" t="s">
        <v>87</v>
      </c>
    </row>
    <row r="45" spans="1:10" ht="14.25" x14ac:dyDescent="0.2">
      <c r="A45" s="1558"/>
      <c r="B45" s="640" t="s">
        <v>1618</v>
      </c>
      <c r="C45" s="945">
        <v>38</v>
      </c>
      <c r="D45" s="144" t="s">
        <v>90</v>
      </c>
      <c r="E45" s="144" t="s">
        <v>90</v>
      </c>
      <c r="F45" s="144" t="s">
        <v>90</v>
      </c>
      <c r="G45" s="208" t="s">
        <v>1163</v>
      </c>
      <c r="H45" s="640" t="s">
        <v>1619</v>
      </c>
      <c r="J45" s="699" t="s">
        <v>87</v>
      </c>
    </row>
    <row r="46" spans="1:10" ht="15" x14ac:dyDescent="0.25">
      <c r="A46" s="1558"/>
      <c r="B46" s="980" t="s">
        <v>1582</v>
      </c>
      <c r="C46" s="1388"/>
      <c r="D46" s="1382"/>
      <c r="E46" s="1382"/>
      <c r="F46" s="1382"/>
      <c r="G46" s="401"/>
      <c r="H46" s="102"/>
      <c r="J46" s="699" t="s">
        <v>87</v>
      </c>
    </row>
    <row r="47" spans="1:10" x14ac:dyDescent="0.2">
      <c r="A47" s="1558"/>
      <c r="B47" s="1384"/>
      <c r="C47" s="234">
        <v>39</v>
      </c>
      <c r="D47" s="144" t="s">
        <v>90</v>
      </c>
      <c r="E47" s="144" t="s">
        <v>90</v>
      </c>
      <c r="F47" s="144" t="s">
        <v>90</v>
      </c>
      <c r="G47" s="1385"/>
      <c r="H47" s="1385"/>
      <c r="J47" s="699" t="s">
        <v>87</v>
      </c>
    </row>
    <row r="48" spans="1:10" x14ac:dyDescent="0.2">
      <c r="A48" s="1558"/>
      <c r="B48" s="1384"/>
      <c r="C48" s="234">
        <v>40</v>
      </c>
      <c r="D48" s="144" t="s">
        <v>90</v>
      </c>
      <c r="E48" s="144" t="s">
        <v>90</v>
      </c>
      <c r="F48" s="144" t="s">
        <v>90</v>
      </c>
      <c r="G48" s="1385"/>
      <c r="H48" s="1385"/>
      <c r="J48" s="699" t="s">
        <v>87</v>
      </c>
    </row>
    <row r="49" spans="1:10" x14ac:dyDescent="0.2">
      <c r="A49" s="1558"/>
      <c r="B49" s="1384"/>
      <c r="C49" s="234">
        <v>41</v>
      </c>
      <c r="D49" s="144" t="s">
        <v>90</v>
      </c>
      <c r="E49" s="144" t="s">
        <v>90</v>
      </c>
      <c r="F49" s="144" t="s">
        <v>90</v>
      </c>
      <c r="G49" s="1385"/>
      <c r="H49" s="1385"/>
      <c r="J49" s="699" t="s">
        <v>87</v>
      </c>
    </row>
    <row r="50" spans="1:10" x14ac:dyDescent="0.2">
      <c r="A50" s="1558"/>
      <c r="B50" s="1384"/>
      <c r="C50" s="234">
        <v>42</v>
      </c>
      <c r="D50" s="144" t="s">
        <v>90</v>
      </c>
      <c r="E50" s="144" t="s">
        <v>90</v>
      </c>
      <c r="F50" s="144" t="s">
        <v>90</v>
      </c>
      <c r="G50" s="1385"/>
      <c r="H50" s="1385"/>
      <c r="J50" s="699" t="s">
        <v>87</v>
      </c>
    </row>
    <row r="51" spans="1:10" x14ac:dyDescent="0.2">
      <c r="A51" s="1559"/>
      <c r="B51" s="1386"/>
      <c r="C51" s="234">
        <v>43</v>
      </c>
      <c r="D51" s="144" t="s">
        <v>90</v>
      </c>
      <c r="E51" s="144" t="s">
        <v>90</v>
      </c>
      <c r="F51" s="144" t="s">
        <v>90</v>
      </c>
      <c r="G51" s="1387"/>
      <c r="H51" s="1387"/>
      <c r="J51" s="699" t="s">
        <v>87</v>
      </c>
    </row>
    <row r="52" spans="1:10" ht="13.9" customHeight="1" x14ac:dyDescent="0.2">
      <c r="A52" s="1553" t="s">
        <v>978</v>
      </c>
      <c r="B52" s="640" t="s">
        <v>767</v>
      </c>
      <c r="C52" s="234">
        <v>44</v>
      </c>
      <c r="D52" s="144" t="s">
        <v>90</v>
      </c>
      <c r="E52" s="144" t="s">
        <v>90</v>
      </c>
      <c r="F52" s="144" t="s">
        <v>90</v>
      </c>
      <c r="G52" s="208" t="s">
        <v>1162</v>
      </c>
      <c r="H52" s="640" t="s">
        <v>1620</v>
      </c>
      <c r="J52" s="699" t="s">
        <v>87</v>
      </c>
    </row>
    <row r="53" spans="1:10" ht="14.25" x14ac:dyDescent="0.2">
      <c r="A53" s="1553"/>
      <c r="B53" s="640" t="s">
        <v>1621</v>
      </c>
      <c r="C53" s="945">
        <v>45</v>
      </c>
      <c r="D53" s="144" t="s">
        <v>90</v>
      </c>
      <c r="E53" s="144" t="s">
        <v>90</v>
      </c>
      <c r="F53" s="144" t="s">
        <v>90</v>
      </c>
      <c r="G53" s="208" t="s">
        <v>1178</v>
      </c>
      <c r="H53" s="640" t="s">
        <v>1622</v>
      </c>
      <c r="J53" s="699" t="s">
        <v>87</v>
      </c>
    </row>
    <row r="54" spans="1:10" ht="14.25" x14ac:dyDescent="0.2">
      <c r="A54" s="1553"/>
      <c r="B54" s="640" t="s">
        <v>1623</v>
      </c>
      <c r="C54" s="945">
        <v>46</v>
      </c>
      <c r="D54" s="144" t="s">
        <v>90</v>
      </c>
      <c r="E54" s="144" t="s">
        <v>90</v>
      </c>
      <c r="F54" s="144" t="s">
        <v>90</v>
      </c>
      <c r="G54" s="208" t="s">
        <v>1193</v>
      </c>
      <c r="H54" s="640" t="s">
        <v>1624</v>
      </c>
      <c r="J54" s="699" t="s">
        <v>87</v>
      </c>
    </row>
    <row r="55" spans="1:10" ht="15" x14ac:dyDescent="0.25">
      <c r="A55" s="1553"/>
      <c r="B55" s="980" t="s">
        <v>1582</v>
      </c>
      <c r="C55" s="1389"/>
      <c r="D55" s="1382"/>
      <c r="E55" s="1382"/>
      <c r="F55" s="1382"/>
      <c r="G55" s="401"/>
      <c r="H55" s="102"/>
      <c r="J55" s="699" t="s">
        <v>87</v>
      </c>
    </row>
    <row r="56" spans="1:10" x14ac:dyDescent="0.2">
      <c r="A56" s="1553"/>
      <c r="B56" s="981"/>
      <c r="C56" s="1170">
        <v>47</v>
      </c>
      <c r="D56" s="1378" t="s">
        <v>90</v>
      </c>
      <c r="E56" s="144" t="s">
        <v>90</v>
      </c>
      <c r="F56" s="144" t="s">
        <v>90</v>
      </c>
      <c r="G56" s="1385"/>
      <c r="H56" s="1385"/>
      <c r="J56" s="699" t="s">
        <v>87</v>
      </c>
    </row>
    <row r="57" spans="1:10" x14ac:dyDescent="0.2">
      <c r="A57" s="1553"/>
      <c r="B57" s="981"/>
      <c r="C57" s="1170">
        <v>48</v>
      </c>
      <c r="D57" s="1378" t="s">
        <v>90</v>
      </c>
      <c r="E57" s="144" t="s">
        <v>90</v>
      </c>
      <c r="F57" s="144" t="s">
        <v>90</v>
      </c>
      <c r="G57" s="1385"/>
      <c r="H57" s="1385"/>
      <c r="J57" s="699" t="s">
        <v>87</v>
      </c>
    </row>
    <row r="58" spans="1:10" x14ac:dyDescent="0.2">
      <c r="A58" s="1553"/>
      <c r="B58" s="981"/>
      <c r="C58" s="1170">
        <v>49</v>
      </c>
      <c r="D58" s="1378" t="s">
        <v>90</v>
      </c>
      <c r="E58" s="144" t="s">
        <v>90</v>
      </c>
      <c r="F58" s="144" t="s">
        <v>90</v>
      </c>
      <c r="G58" s="1385"/>
      <c r="H58" s="1385"/>
      <c r="J58" s="699" t="s">
        <v>87</v>
      </c>
    </row>
    <row r="59" spans="1:10" x14ac:dyDescent="0.2">
      <c r="A59" s="1553"/>
      <c r="B59" s="981"/>
      <c r="C59" s="1170">
        <v>50</v>
      </c>
      <c r="D59" s="1378" t="s">
        <v>90</v>
      </c>
      <c r="E59" s="144" t="s">
        <v>90</v>
      </c>
      <c r="F59" s="144" t="s">
        <v>90</v>
      </c>
      <c r="G59" s="1385"/>
      <c r="H59" s="1385"/>
      <c r="J59" s="699" t="s">
        <v>87</v>
      </c>
    </row>
    <row r="60" spans="1:10" x14ac:dyDescent="0.2">
      <c r="A60" s="1553"/>
      <c r="B60" s="981"/>
      <c r="C60" s="1170">
        <v>51</v>
      </c>
      <c r="D60" s="1378" t="s">
        <v>90</v>
      </c>
      <c r="E60" s="144" t="s">
        <v>90</v>
      </c>
      <c r="F60" s="144" t="s">
        <v>90</v>
      </c>
      <c r="G60" s="1387"/>
      <c r="H60" s="1387"/>
      <c r="J60" s="699" t="s">
        <v>87</v>
      </c>
    </row>
    <row r="61" spans="1:10" ht="13.9" customHeight="1" x14ac:dyDescent="0.2">
      <c r="A61" s="1553" t="s">
        <v>1625</v>
      </c>
      <c r="B61" s="640" t="s">
        <v>1626</v>
      </c>
      <c r="C61" s="1170">
        <v>52</v>
      </c>
      <c r="D61" s="1378" t="s">
        <v>90</v>
      </c>
      <c r="E61" s="144" t="s">
        <v>90</v>
      </c>
      <c r="F61" s="1379" t="s">
        <v>90</v>
      </c>
      <c r="G61" s="208" t="s">
        <v>1161</v>
      </c>
      <c r="H61" s="640" t="s">
        <v>1627</v>
      </c>
      <c r="J61" s="699" t="s">
        <v>87</v>
      </c>
    </row>
    <row r="62" spans="1:10" ht="14.25" x14ac:dyDescent="0.2">
      <c r="A62" s="1553"/>
      <c r="B62" s="640" t="s">
        <v>1628</v>
      </c>
      <c r="C62" s="1170">
        <v>53</v>
      </c>
      <c r="D62" s="1378" t="s">
        <v>90</v>
      </c>
      <c r="E62" s="144" t="s">
        <v>90</v>
      </c>
      <c r="F62" s="1379" t="s">
        <v>90</v>
      </c>
      <c r="G62" s="208" t="s">
        <v>1164</v>
      </c>
      <c r="H62" s="640" t="s">
        <v>1629</v>
      </c>
      <c r="J62" s="699" t="s">
        <v>87</v>
      </c>
    </row>
    <row r="63" spans="1:10" ht="14.25" x14ac:dyDescent="0.2">
      <c r="A63" s="1553"/>
      <c r="B63" s="640" t="s">
        <v>1630</v>
      </c>
      <c r="C63" s="1170">
        <v>54</v>
      </c>
      <c r="D63" s="1378" t="s">
        <v>90</v>
      </c>
      <c r="E63" s="144" t="s">
        <v>90</v>
      </c>
      <c r="F63" s="1379" t="s">
        <v>90</v>
      </c>
      <c r="G63" s="208" t="s">
        <v>1166</v>
      </c>
      <c r="H63" s="640" t="s">
        <v>1631</v>
      </c>
      <c r="J63" s="699" t="s">
        <v>87</v>
      </c>
    </row>
    <row r="64" spans="1:10" ht="15" x14ac:dyDescent="0.25">
      <c r="A64" s="1553"/>
      <c r="B64" s="980" t="s">
        <v>1582</v>
      </c>
      <c r="C64" s="1389"/>
      <c r="D64" s="1382"/>
      <c r="E64" s="1382"/>
      <c r="F64" s="1382"/>
      <c r="G64" s="150"/>
      <c r="H64" s="586"/>
      <c r="J64" s="699" t="s">
        <v>87</v>
      </c>
    </row>
    <row r="65" spans="1:10" x14ac:dyDescent="0.2">
      <c r="A65" s="1553"/>
      <c r="B65" s="981"/>
      <c r="C65" s="1170">
        <v>55</v>
      </c>
      <c r="D65" s="1378" t="s">
        <v>90</v>
      </c>
      <c r="E65" s="144" t="s">
        <v>90</v>
      </c>
      <c r="F65" s="144" t="s">
        <v>90</v>
      </c>
      <c r="G65" s="1385"/>
      <c r="H65" s="1385"/>
      <c r="J65" s="699" t="s">
        <v>87</v>
      </c>
    </row>
    <row r="66" spans="1:10" x14ac:dyDescent="0.2">
      <c r="A66" s="1553"/>
      <c r="B66" s="981"/>
      <c r="C66" s="1170">
        <v>56</v>
      </c>
      <c r="D66" s="1378" t="s">
        <v>90</v>
      </c>
      <c r="E66" s="144" t="s">
        <v>90</v>
      </c>
      <c r="F66" s="144" t="s">
        <v>90</v>
      </c>
      <c r="G66" s="1385"/>
      <c r="H66" s="1385"/>
      <c r="J66" s="699" t="s">
        <v>87</v>
      </c>
    </row>
    <row r="67" spans="1:10" x14ac:dyDescent="0.2">
      <c r="A67" s="1553"/>
      <c r="B67" s="981"/>
      <c r="C67" s="1170">
        <v>57</v>
      </c>
      <c r="D67" s="1378" t="s">
        <v>90</v>
      </c>
      <c r="E67" s="144" t="s">
        <v>90</v>
      </c>
      <c r="F67" s="144" t="s">
        <v>90</v>
      </c>
      <c r="G67" s="1385"/>
      <c r="H67" s="1385"/>
      <c r="J67" s="699" t="s">
        <v>87</v>
      </c>
    </row>
    <row r="68" spans="1:10" x14ac:dyDescent="0.2">
      <c r="A68" s="1553"/>
      <c r="B68" s="981"/>
      <c r="C68" s="1170">
        <v>58</v>
      </c>
      <c r="D68" s="1378" t="s">
        <v>90</v>
      </c>
      <c r="E68" s="144" t="s">
        <v>90</v>
      </c>
      <c r="F68" s="144" t="s">
        <v>90</v>
      </c>
      <c r="G68" s="1385"/>
      <c r="H68" s="1385"/>
      <c r="J68" s="699" t="s">
        <v>87</v>
      </c>
    </row>
    <row r="69" spans="1:10" x14ac:dyDescent="0.2">
      <c r="A69" s="1553"/>
      <c r="B69" s="981"/>
      <c r="C69" s="1170">
        <v>59</v>
      </c>
      <c r="D69" s="1378" t="s">
        <v>90</v>
      </c>
      <c r="E69" s="144" t="s">
        <v>90</v>
      </c>
      <c r="F69" s="144" t="s">
        <v>90</v>
      </c>
      <c r="G69" s="1387"/>
      <c r="H69" s="1387"/>
      <c r="J69" s="699" t="s">
        <v>87</v>
      </c>
    </row>
    <row r="70" spans="1:10" ht="13.9" customHeight="1" x14ac:dyDescent="0.2">
      <c r="A70" s="1553" t="s">
        <v>1632</v>
      </c>
      <c r="B70" s="640" t="s">
        <v>1633</v>
      </c>
      <c r="C70" s="1170">
        <v>60</v>
      </c>
      <c r="D70" s="1378" t="s">
        <v>90</v>
      </c>
      <c r="E70" s="144" t="s">
        <v>90</v>
      </c>
      <c r="F70" s="1379" t="s">
        <v>90</v>
      </c>
      <c r="G70" s="400" t="s">
        <v>1160</v>
      </c>
      <c r="H70" s="640" t="s">
        <v>1634</v>
      </c>
      <c r="J70" s="699" t="s">
        <v>87</v>
      </c>
    </row>
    <row r="71" spans="1:10" ht="14.25" x14ac:dyDescent="0.2">
      <c r="A71" s="1553"/>
      <c r="B71" s="640" t="s">
        <v>1635</v>
      </c>
      <c r="C71" s="1170">
        <v>61</v>
      </c>
      <c r="D71" s="1378" t="s">
        <v>90</v>
      </c>
      <c r="E71" s="144" t="s">
        <v>90</v>
      </c>
      <c r="F71" s="1379" t="s">
        <v>90</v>
      </c>
      <c r="G71" s="208" t="s">
        <v>1181</v>
      </c>
      <c r="H71" s="640" t="s">
        <v>1636</v>
      </c>
      <c r="J71" s="699" t="s">
        <v>87</v>
      </c>
    </row>
    <row r="72" spans="1:10" ht="14.25" x14ac:dyDescent="0.2">
      <c r="A72" s="1553"/>
      <c r="B72" s="640" t="s">
        <v>1637</v>
      </c>
      <c r="C72" s="1170">
        <v>62</v>
      </c>
      <c r="D72" s="1378" t="s">
        <v>90</v>
      </c>
      <c r="E72" s="144" t="s">
        <v>90</v>
      </c>
      <c r="F72" s="1379" t="s">
        <v>90</v>
      </c>
      <c r="G72" s="208" t="s">
        <v>1194</v>
      </c>
      <c r="H72" s="640" t="s">
        <v>1638</v>
      </c>
      <c r="J72" s="699" t="s">
        <v>87</v>
      </c>
    </row>
    <row r="73" spans="1:10" ht="15" x14ac:dyDescent="0.25">
      <c r="A73" s="1553"/>
      <c r="B73" s="980" t="s">
        <v>1582</v>
      </c>
      <c r="C73" s="1389"/>
      <c r="D73" s="1382"/>
      <c r="E73" s="1382"/>
      <c r="F73" s="1382"/>
      <c r="G73" s="401"/>
      <c r="H73" s="102"/>
      <c r="J73" s="699" t="s">
        <v>87</v>
      </c>
    </row>
    <row r="74" spans="1:10" x14ac:dyDescent="0.2">
      <c r="A74" s="1553"/>
      <c r="B74" s="981"/>
      <c r="C74" s="1170">
        <v>63</v>
      </c>
      <c r="D74" s="1378" t="s">
        <v>90</v>
      </c>
      <c r="E74" s="144" t="s">
        <v>90</v>
      </c>
      <c r="F74" s="144" t="s">
        <v>90</v>
      </c>
      <c r="G74" s="1385"/>
      <c r="H74" s="1385"/>
      <c r="J74" s="699" t="s">
        <v>87</v>
      </c>
    </row>
    <row r="75" spans="1:10" x14ac:dyDescent="0.2">
      <c r="A75" s="1553"/>
      <c r="B75" s="981"/>
      <c r="C75" s="1170">
        <v>64</v>
      </c>
      <c r="D75" s="1378" t="s">
        <v>90</v>
      </c>
      <c r="E75" s="144" t="s">
        <v>90</v>
      </c>
      <c r="F75" s="144" t="s">
        <v>90</v>
      </c>
      <c r="G75" s="1385"/>
      <c r="H75" s="1385"/>
      <c r="J75" s="699" t="s">
        <v>87</v>
      </c>
    </row>
    <row r="76" spans="1:10" x14ac:dyDescent="0.2">
      <c r="A76" s="1553"/>
      <c r="B76" s="981"/>
      <c r="C76" s="1170">
        <v>65</v>
      </c>
      <c r="D76" s="1378" t="s">
        <v>90</v>
      </c>
      <c r="E76" s="144" t="s">
        <v>90</v>
      </c>
      <c r="F76" s="144" t="s">
        <v>90</v>
      </c>
      <c r="G76" s="1385"/>
      <c r="H76" s="1385"/>
      <c r="J76" s="699" t="s">
        <v>87</v>
      </c>
    </row>
    <row r="77" spans="1:10" x14ac:dyDescent="0.2">
      <c r="A77" s="1553"/>
      <c r="B77" s="981"/>
      <c r="C77" s="1170">
        <v>66</v>
      </c>
      <c r="D77" s="1378" t="s">
        <v>90</v>
      </c>
      <c r="E77" s="144" t="s">
        <v>90</v>
      </c>
      <c r="F77" s="144" t="s">
        <v>90</v>
      </c>
      <c r="G77" s="1385"/>
      <c r="H77" s="1385"/>
      <c r="J77" s="699" t="s">
        <v>87</v>
      </c>
    </row>
    <row r="78" spans="1:10" x14ac:dyDescent="0.2">
      <c r="A78" s="1553"/>
      <c r="B78" s="981"/>
      <c r="C78" s="1176">
        <v>67</v>
      </c>
      <c r="D78" s="1378" t="s">
        <v>90</v>
      </c>
      <c r="E78" s="144" t="s">
        <v>90</v>
      </c>
      <c r="F78" s="144" t="s">
        <v>90</v>
      </c>
      <c r="G78" s="1385"/>
      <c r="H78" s="1385"/>
      <c r="J78" s="699" t="s">
        <v>87</v>
      </c>
    </row>
    <row r="79" spans="1:10" x14ac:dyDescent="0.2">
      <c r="J79" s="699" t="s">
        <v>87</v>
      </c>
    </row>
    <row r="80" spans="1:10" x14ac:dyDescent="0.2">
      <c r="A80" s="699" t="s">
        <v>87</v>
      </c>
      <c r="B80" s="699" t="s">
        <v>87</v>
      </c>
      <c r="C80" s="699" t="s">
        <v>87</v>
      </c>
      <c r="D80" s="699" t="s">
        <v>87</v>
      </c>
      <c r="E80" s="699" t="s">
        <v>87</v>
      </c>
      <c r="F80" s="699" t="s">
        <v>87</v>
      </c>
      <c r="G80" s="699" t="s">
        <v>87</v>
      </c>
      <c r="H80" s="699" t="s">
        <v>87</v>
      </c>
      <c r="I80" s="699" t="s">
        <v>87</v>
      </c>
      <c r="J80" s="699" t="s">
        <v>87</v>
      </c>
    </row>
  </sheetData>
  <mergeCells count="9">
    <mergeCell ref="A52:A60"/>
    <mergeCell ref="A61:A69"/>
    <mergeCell ref="A70:A78"/>
    <mergeCell ref="D4:F4"/>
    <mergeCell ref="G5:H5"/>
    <mergeCell ref="A7:A21"/>
    <mergeCell ref="A22:A51"/>
    <mergeCell ref="G22:G34"/>
    <mergeCell ref="H22:H34"/>
  </mergeCells>
  <pageMargins left="0.25" right="0.25" top="0.75" bottom="0.75"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0" tint="-0.499984740745262"/>
  </sheetPr>
  <dimension ref="A1:H167"/>
  <sheetViews>
    <sheetView workbookViewId="0">
      <selection activeCell="C14" sqref="C14"/>
    </sheetView>
  </sheetViews>
  <sheetFormatPr defaultRowHeight="12.75" x14ac:dyDescent="0.2"/>
  <cols>
    <col min="1" max="1" width="20.5703125" customWidth="1"/>
    <col min="2" max="2" width="3.28515625" customWidth="1"/>
    <col min="3" max="3" width="50.28515625" customWidth="1"/>
    <col min="4" max="4" width="79.7109375" customWidth="1"/>
    <col min="7" max="7" width="24.28515625" customWidth="1"/>
  </cols>
  <sheetData>
    <row r="1" spans="1:3" x14ac:dyDescent="0.2">
      <c r="A1" t="s">
        <v>1639</v>
      </c>
      <c r="B1" t="s">
        <v>87</v>
      </c>
      <c r="C1" t="s">
        <v>9</v>
      </c>
    </row>
    <row r="3" spans="1:3" x14ac:dyDescent="0.2">
      <c r="A3" s="1390" t="s">
        <v>1640</v>
      </c>
      <c r="B3" s="1391">
        <f ca="1">COUNTA(INDIRECT(A3))</f>
        <v>4</v>
      </c>
      <c r="C3" s="1392" t="s">
        <v>1641</v>
      </c>
    </row>
    <row r="4" spans="1:3" x14ac:dyDescent="0.2">
      <c r="B4" s="1393">
        <v>1</v>
      </c>
      <c r="C4" s="13">
        <v>1</v>
      </c>
    </row>
    <row r="5" spans="1:3" x14ac:dyDescent="0.2">
      <c r="B5" s="1393">
        <f>B4+1</f>
        <v>2</v>
      </c>
      <c r="C5" s="1394">
        <v>1000</v>
      </c>
    </row>
    <row r="6" spans="1:3" x14ac:dyDescent="0.2">
      <c r="B6" s="1393">
        <f>B5+1</f>
        <v>3</v>
      </c>
      <c r="C6" s="1394">
        <v>1000000</v>
      </c>
    </row>
    <row r="7" spans="1:3" x14ac:dyDescent="0.2">
      <c r="B7" s="1393">
        <f>B6+1</f>
        <v>4</v>
      </c>
      <c r="C7" s="1394">
        <v>1000000000</v>
      </c>
    </row>
    <row r="9" spans="1:3" x14ac:dyDescent="0.2">
      <c r="A9" s="1390" t="s">
        <v>1642</v>
      </c>
      <c r="B9" s="1391">
        <f ca="1">COUNTA(INDIRECT(A9))</f>
        <v>3</v>
      </c>
      <c r="C9" s="1392" t="s">
        <v>1643</v>
      </c>
    </row>
    <row r="10" spans="1:3" x14ac:dyDescent="0.2">
      <c r="B10" s="1393">
        <v>1</v>
      </c>
      <c r="C10" s="13" t="s">
        <v>90</v>
      </c>
    </row>
    <row r="11" spans="1:3" x14ac:dyDescent="0.2">
      <c r="B11" s="1393">
        <f>B10+1</f>
        <v>2</v>
      </c>
      <c r="C11" s="1394" t="s">
        <v>19</v>
      </c>
    </row>
    <row r="12" spans="1:3" x14ac:dyDescent="0.2">
      <c r="B12" s="1393">
        <f>B11+1</f>
        <v>3</v>
      </c>
      <c r="C12" s="1394" t="s">
        <v>20</v>
      </c>
    </row>
    <row r="14" spans="1:3" x14ac:dyDescent="0.2">
      <c r="A14" s="1390" t="s">
        <v>1644</v>
      </c>
      <c r="B14" s="1391">
        <f ca="1">COUNTA(INDIRECT(A14))</f>
        <v>4</v>
      </c>
      <c r="C14" s="1392" t="s">
        <v>1645</v>
      </c>
    </row>
    <row r="15" spans="1:3" x14ac:dyDescent="0.2">
      <c r="B15" s="1393">
        <v>1</v>
      </c>
      <c r="C15" s="13" t="s">
        <v>1646</v>
      </c>
    </row>
    <row r="16" spans="1:3" x14ac:dyDescent="0.2">
      <c r="B16" s="1393">
        <f>B15+1</f>
        <v>2</v>
      </c>
      <c r="C16" s="13" t="s">
        <v>1647</v>
      </c>
    </row>
    <row r="17" spans="1:8" x14ac:dyDescent="0.2">
      <c r="B17" s="1393">
        <f>B16+1</f>
        <v>3</v>
      </c>
      <c r="C17" s="1395" t="s">
        <v>1648</v>
      </c>
    </row>
    <row r="18" spans="1:8" x14ac:dyDescent="0.2">
      <c r="B18" s="1393">
        <f>B17+1</f>
        <v>4</v>
      </c>
      <c r="C18" s="1395" t="s">
        <v>1524</v>
      </c>
    </row>
    <row r="20" spans="1:8" x14ac:dyDescent="0.2">
      <c r="A20" s="1390" t="s">
        <v>1649</v>
      </c>
      <c r="B20" s="1391">
        <f ca="1">COUNTA(INDIRECT(A20))</f>
        <v>6</v>
      </c>
      <c r="C20" s="1392" t="s">
        <v>1650</v>
      </c>
      <c r="D20" s="13"/>
      <c r="G20" s="13"/>
      <c r="H20" s="13"/>
    </row>
    <row r="21" spans="1:8" x14ac:dyDescent="0.2">
      <c r="B21" s="1393">
        <v>1</v>
      </c>
      <c r="C21" s="1396" t="s">
        <v>721</v>
      </c>
      <c r="D21" s="13"/>
      <c r="F21" s="13"/>
      <c r="G21" s="13"/>
      <c r="H21" s="13"/>
    </row>
    <row r="22" spans="1:8" x14ac:dyDescent="0.2">
      <c r="B22" s="1393">
        <f>B21+1</f>
        <v>2</v>
      </c>
      <c r="C22" s="1396" t="s">
        <v>722</v>
      </c>
      <c r="D22" s="13"/>
      <c r="F22" s="13"/>
      <c r="G22" s="13"/>
      <c r="H22" s="13"/>
    </row>
    <row r="23" spans="1:8" x14ac:dyDescent="0.2">
      <c r="B23" s="1393">
        <f>B22+1</f>
        <v>3</v>
      </c>
      <c r="C23" s="1396" t="s">
        <v>723</v>
      </c>
      <c r="D23" s="13"/>
      <c r="F23" s="13"/>
      <c r="G23" s="13"/>
      <c r="H23" s="13"/>
    </row>
    <row r="24" spans="1:8" x14ac:dyDescent="0.2">
      <c r="B24" s="1393">
        <f>B23+1</f>
        <v>4</v>
      </c>
      <c r="C24" s="1396" t="s">
        <v>724</v>
      </c>
      <c r="D24" s="13"/>
      <c r="F24" s="13"/>
      <c r="G24" s="13"/>
      <c r="H24" s="13"/>
    </row>
    <row r="25" spans="1:8" x14ac:dyDescent="0.2">
      <c r="B25" s="1393">
        <f>B24+1</f>
        <v>5</v>
      </c>
      <c r="C25" s="1396" t="s">
        <v>725</v>
      </c>
      <c r="D25" s="13"/>
      <c r="F25" s="13"/>
      <c r="G25" s="13"/>
      <c r="H25" s="13"/>
    </row>
    <row r="26" spans="1:8" x14ac:dyDescent="0.2">
      <c r="B26" s="1393">
        <f>B25+1</f>
        <v>6</v>
      </c>
      <c r="C26" s="1396" t="s">
        <v>726</v>
      </c>
      <c r="D26" s="13"/>
      <c r="F26" s="13"/>
      <c r="G26" s="13"/>
      <c r="H26" s="13"/>
    </row>
    <row r="27" spans="1:8" x14ac:dyDescent="0.2">
      <c r="B27" s="13"/>
      <c r="C27" s="13"/>
      <c r="D27" s="13"/>
      <c r="F27" s="13"/>
      <c r="G27" s="13"/>
      <c r="H27" s="13"/>
    </row>
    <row r="28" spans="1:8" x14ac:dyDescent="0.2">
      <c r="A28" s="1390" t="s">
        <v>1651</v>
      </c>
      <c r="B28" s="1391">
        <f ca="1">COUNTA(INDIRECT(A28))</f>
        <v>35</v>
      </c>
      <c r="C28" s="1392" t="s">
        <v>1652</v>
      </c>
      <c r="D28" s="13" t="s">
        <v>1653</v>
      </c>
      <c r="F28" s="13"/>
      <c r="G28" s="13"/>
      <c r="H28" s="13"/>
    </row>
    <row r="29" spans="1:8" x14ac:dyDescent="0.2">
      <c r="B29" s="1393">
        <v>1</v>
      </c>
      <c r="C29" s="1396" t="s">
        <v>1160</v>
      </c>
      <c r="D29" s="13"/>
      <c r="F29" s="13"/>
      <c r="G29" s="13"/>
      <c r="H29" s="13"/>
    </row>
    <row r="30" spans="1:8" x14ac:dyDescent="0.2">
      <c r="B30" s="1393">
        <f t="shared" ref="B30:B63" si="0">B29+1</f>
        <v>2</v>
      </c>
      <c r="C30" s="1396" t="s">
        <v>1161</v>
      </c>
      <c r="D30" s="13"/>
      <c r="F30" s="13"/>
      <c r="G30" s="13"/>
      <c r="H30" s="13"/>
    </row>
    <row r="31" spans="1:8" x14ac:dyDescent="0.2">
      <c r="B31" s="1393">
        <f t="shared" si="0"/>
        <v>3</v>
      </c>
      <c r="C31" s="1396" t="s">
        <v>1162</v>
      </c>
      <c r="D31" s="13"/>
      <c r="F31" s="13"/>
      <c r="G31" s="13"/>
      <c r="H31" s="13"/>
    </row>
    <row r="32" spans="1:8" x14ac:dyDescent="0.2">
      <c r="B32" s="1393">
        <f t="shared" si="0"/>
        <v>4</v>
      </c>
      <c r="C32" s="1396" t="s">
        <v>1163</v>
      </c>
      <c r="D32" s="13"/>
      <c r="F32" s="13"/>
      <c r="G32" s="13"/>
      <c r="H32" s="13"/>
    </row>
    <row r="33" spans="2:8" x14ac:dyDescent="0.2">
      <c r="B33" s="1393">
        <f t="shared" si="0"/>
        <v>5</v>
      </c>
      <c r="C33" s="1396" t="s">
        <v>1164</v>
      </c>
      <c r="D33" s="13"/>
      <c r="F33" s="13"/>
      <c r="G33" s="13"/>
      <c r="H33" s="13"/>
    </row>
    <row r="34" spans="2:8" x14ac:dyDescent="0.2">
      <c r="B34" s="1393">
        <f t="shared" si="0"/>
        <v>6</v>
      </c>
      <c r="C34" s="1396" t="s">
        <v>1165</v>
      </c>
      <c r="D34" s="13"/>
      <c r="F34" s="13"/>
      <c r="G34" s="13"/>
      <c r="H34" s="13"/>
    </row>
    <row r="35" spans="2:8" x14ac:dyDescent="0.2">
      <c r="B35" s="1393">
        <f t="shared" si="0"/>
        <v>7</v>
      </c>
      <c r="C35" s="1396" t="s">
        <v>1166</v>
      </c>
      <c r="D35" s="13"/>
      <c r="F35" s="13"/>
      <c r="G35" s="13"/>
      <c r="H35" s="13"/>
    </row>
    <row r="36" spans="2:8" x14ac:dyDescent="0.2">
      <c r="B36" s="1393">
        <f t="shared" si="0"/>
        <v>8</v>
      </c>
      <c r="C36" s="1396" t="s">
        <v>1167</v>
      </c>
      <c r="D36" s="13"/>
      <c r="F36" s="13"/>
      <c r="G36" s="13"/>
      <c r="H36" s="13"/>
    </row>
    <row r="37" spans="2:8" x14ac:dyDescent="0.2">
      <c r="B37" s="1393">
        <f t="shared" si="0"/>
        <v>9</v>
      </c>
      <c r="C37" s="1396" t="s">
        <v>1168</v>
      </c>
      <c r="D37" s="13"/>
      <c r="F37" s="13"/>
      <c r="G37" s="13"/>
      <c r="H37" s="13"/>
    </row>
    <row r="38" spans="2:8" x14ac:dyDescent="0.2">
      <c r="B38" s="1393">
        <f t="shared" si="0"/>
        <v>10</v>
      </c>
      <c r="C38" s="1396" t="s">
        <v>1169</v>
      </c>
      <c r="D38" s="13"/>
      <c r="F38" s="13"/>
      <c r="G38" s="13"/>
      <c r="H38" s="13"/>
    </row>
    <row r="39" spans="2:8" x14ac:dyDescent="0.2">
      <c r="B39" s="1393">
        <f t="shared" si="0"/>
        <v>11</v>
      </c>
      <c r="C39" s="1396" t="s">
        <v>1170</v>
      </c>
      <c r="D39" s="13"/>
      <c r="F39" s="13"/>
      <c r="G39" s="13"/>
      <c r="H39" s="13"/>
    </row>
    <row r="40" spans="2:8" x14ac:dyDescent="0.2">
      <c r="B40" s="1393">
        <f t="shared" si="0"/>
        <v>12</v>
      </c>
      <c r="C40" s="1396" t="s">
        <v>1171</v>
      </c>
      <c r="D40" s="13"/>
      <c r="F40" s="13"/>
      <c r="G40" s="13"/>
      <c r="H40" s="13"/>
    </row>
    <row r="41" spans="2:8" x14ac:dyDescent="0.2">
      <c r="B41" s="1393">
        <f t="shared" si="0"/>
        <v>13</v>
      </c>
      <c r="C41" s="1396" t="s">
        <v>1172</v>
      </c>
      <c r="D41" s="13"/>
      <c r="F41" s="13"/>
      <c r="G41" s="13"/>
      <c r="H41" s="13"/>
    </row>
    <row r="42" spans="2:8" x14ac:dyDescent="0.2">
      <c r="B42" s="1393">
        <f t="shared" si="0"/>
        <v>14</v>
      </c>
      <c r="C42" s="1396" t="s">
        <v>1173</v>
      </c>
      <c r="D42" s="13"/>
      <c r="F42" s="13"/>
      <c r="G42" s="13"/>
      <c r="H42" s="13"/>
    </row>
    <row r="43" spans="2:8" x14ac:dyDescent="0.2">
      <c r="B43" s="1393">
        <f t="shared" si="0"/>
        <v>15</v>
      </c>
      <c r="C43" s="1396" t="s">
        <v>1174</v>
      </c>
      <c r="D43" s="13"/>
      <c r="F43" s="13"/>
      <c r="G43" s="13"/>
      <c r="H43" s="13"/>
    </row>
    <row r="44" spans="2:8" x14ac:dyDescent="0.2">
      <c r="B44" s="1393">
        <f t="shared" si="0"/>
        <v>16</v>
      </c>
      <c r="C44" s="1396" t="s">
        <v>1175</v>
      </c>
      <c r="D44" s="13"/>
      <c r="F44" s="13"/>
      <c r="G44" s="13"/>
      <c r="H44" s="13"/>
    </row>
    <row r="45" spans="2:8" x14ac:dyDescent="0.2">
      <c r="B45" s="1393">
        <f t="shared" si="0"/>
        <v>17</v>
      </c>
      <c r="C45" s="1396" t="s">
        <v>1176</v>
      </c>
      <c r="D45" s="13"/>
      <c r="F45" s="13"/>
      <c r="G45" s="13"/>
      <c r="H45" s="13"/>
    </row>
    <row r="46" spans="2:8" x14ac:dyDescent="0.2">
      <c r="B46" s="1393">
        <f t="shared" si="0"/>
        <v>18</v>
      </c>
      <c r="C46" s="1396" t="s">
        <v>1177</v>
      </c>
      <c r="D46" s="13"/>
      <c r="F46" s="13"/>
      <c r="G46" s="13"/>
      <c r="H46" s="13"/>
    </row>
    <row r="47" spans="2:8" x14ac:dyDescent="0.2">
      <c r="B47" s="1393">
        <f t="shared" si="0"/>
        <v>19</v>
      </c>
      <c r="C47" s="1396" t="s">
        <v>1178</v>
      </c>
      <c r="D47" s="13"/>
      <c r="F47" s="13"/>
      <c r="G47" s="13"/>
      <c r="H47" s="13"/>
    </row>
    <row r="48" spans="2:8" x14ac:dyDescent="0.2">
      <c r="B48" s="1393">
        <f t="shared" si="0"/>
        <v>20</v>
      </c>
      <c r="C48" s="1396" t="s">
        <v>1179</v>
      </c>
      <c r="D48" s="13"/>
      <c r="F48" s="13"/>
      <c r="G48" s="13"/>
      <c r="H48" s="13"/>
    </row>
    <row r="49" spans="2:8" x14ac:dyDescent="0.2">
      <c r="B49" s="1393">
        <f t="shared" si="0"/>
        <v>21</v>
      </c>
      <c r="C49" s="1396" t="s">
        <v>1180</v>
      </c>
      <c r="D49" s="13"/>
      <c r="F49" s="13"/>
      <c r="G49" s="13"/>
      <c r="H49" s="13"/>
    </row>
    <row r="50" spans="2:8" x14ac:dyDescent="0.2">
      <c r="B50" s="1393">
        <f t="shared" si="0"/>
        <v>22</v>
      </c>
      <c r="C50" s="1396" t="s">
        <v>1181</v>
      </c>
      <c r="D50" s="13"/>
      <c r="F50" s="13"/>
      <c r="G50" s="13"/>
      <c r="H50" s="13"/>
    </row>
    <row r="51" spans="2:8" x14ac:dyDescent="0.2">
      <c r="B51" s="1393">
        <f t="shared" si="0"/>
        <v>23</v>
      </c>
      <c r="C51" s="1396" t="s">
        <v>1182</v>
      </c>
      <c r="D51" s="13"/>
      <c r="F51" s="13"/>
      <c r="G51" s="13"/>
      <c r="H51" s="13"/>
    </row>
    <row r="52" spans="2:8" x14ac:dyDescent="0.2">
      <c r="B52" s="1393">
        <f t="shared" si="0"/>
        <v>24</v>
      </c>
      <c r="C52" s="1396" t="s">
        <v>1183</v>
      </c>
      <c r="D52" s="13"/>
      <c r="F52" s="13"/>
      <c r="G52" s="13"/>
      <c r="H52" s="13"/>
    </row>
    <row r="53" spans="2:8" x14ac:dyDescent="0.2">
      <c r="B53" s="1393">
        <f t="shared" si="0"/>
        <v>25</v>
      </c>
      <c r="C53" s="1396" t="s">
        <v>1184</v>
      </c>
      <c r="D53" s="13"/>
      <c r="F53" s="13"/>
      <c r="G53" s="13"/>
      <c r="H53" s="13"/>
    </row>
    <row r="54" spans="2:8" x14ac:dyDescent="0.2">
      <c r="B54" s="1393">
        <f t="shared" si="0"/>
        <v>26</v>
      </c>
      <c r="C54" s="1396" t="s">
        <v>1185</v>
      </c>
      <c r="D54" s="13"/>
      <c r="F54" s="13"/>
      <c r="G54" s="13"/>
      <c r="H54" s="13"/>
    </row>
    <row r="55" spans="2:8" x14ac:dyDescent="0.2">
      <c r="B55" s="1393">
        <f t="shared" si="0"/>
        <v>27</v>
      </c>
      <c r="C55" s="1396" t="s">
        <v>1186</v>
      </c>
      <c r="D55" s="13"/>
      <c r="F55" s="13"/>
      <c r="G55" s="13"/>
      <c r="H55" s="13"/>
    </row>
    <row r="56" spans="2:8" x14ac:dyDescent="0.2">
      <c r="B56" s="1393">
        <f t="shared" si="0"/>
        <v>28</v>
      </c>
      <c r="C56" s="1396" t="s">
        <v>1187</v>
      </c>
      <c r="D56" s="13"/>
      <c r="F56" s="13"/>
      <c r="G56" s="13"/>
      <c r="H56" s="13"/>
    </row>
    <row r="57" spans="2:8" x14ac:dyDescent="0.2">
      <c r="B57" s="1393">
        <f t="shared" si="0"/>
        <v>29</v>
      </c>
      <c r="C57" s="1396" t="s">
        <v>1188</v>
      </c>
      <c r="D57" s="13"/>
      <c r="F57" s="13"/>
      <c r="G57" s="13"/>
      <c r="H57" s="13"/>
    </row>
    <row r="58" spans="2:8" x14ac:dyDescent="0.2">
      <c r="B58" s="1393">
        <f t="shared" si="0"/>
        <v>30</v>
      </c>
      <c r="C58" s="1396" t="s">
        <v>1189</v>
      </c>
      <c r="D58" s="13"/>
      <c r="F58" s="13"/>
      <c r="G58" s="13"/>
      <c r="H58" s="13"/>
    </row>
    <row r="59" spans="2:8" x14ac:dyDescent="0.2">
      <c r="B59" s="1393">
        <f t="shared" si="0"/>
        <v>31</v>
      </c>
      <c r="C59" s="1396" t="s">
        <v>1190</v>
      </c>
      <c r="D59" s="13"/>
      <c r="F59" s="13"/>
      <c r="G59" s="13"/>
      <c r="H59" s="13"/>
    </row>
    <row r="60" spans="2:8" x14ac:dyDescent="0.2">
      <c r="B60" s="1393">
        <f t="shared" si="0"/>
        <v>32</v>
      </c>
      <c r="C60" s="1396" t="s">
        <v>1191</v>
      </c>
      <c r="D60" s="13"/>
      <c r="F60" s="13"/>
      <c r="G60" s="13"/>
      <c r="H60" s="13"/>
    </row>
    <row r="61" spans="2:8" x14ac:dyDescent="0.2">
      <c r="B61" s="1393">
        <f t="shared" si="0"/>
        <v>33</v>
      </c>
      <c r="C61" s="1396" t="s">
        <v>1192</v>
      </c>
      <c r="D61" s="13"/>
      <c r="F61" s="13"/>
      <c r="G61" s="13"/>
      <c r="H61" s="13"/>
    </row>
    <row r="62" spans="2:8" x14ac:dyDescent="0.2">
      <c r="B62" s="1393">
        <f t="shared" si="0"/>
        <v>34</v>
      </c>
      <c r="C62" s="1396" t="s">
        <v>1193</v>
      </c>
      <c r="D62" s="13"/>
      <c r="F62" s="13"/>
      <c r="G62" s="13"/>
      <c r="H62" s="13"/>
    </row>
    <row r="63" spans="2:8" x14ac:dyDescent="0.2">
      <c r="B63" s="1393">
        <f t="shared" si="0"/>
        <v>35</v>
      </c>
      <c r="C63" s="1396" t="s">
        <v>1194</v>
      </c>
      <c r="D63" s="13"/>
      <c r="F63" s="13"/>
      <c r="G63" s="13"/>
      <c r="H63" s="13"/>
    </row>
    <row r="64" spans="2:8" x14ac:dyDescent="0.2">
      <c r="B64" s="13"/>
      <c r="C64" s="13"/>
      <c r="D64" s="13"/>
      <c r="F64" s="13"/>
      <c r="G64" s="13"/>
      <c r="H64" s="13"/>
    </row>
    <row r="65" spans="1:8" x14ac:dyDescent="0.2">
      <c r="A65" s="1390" t="s">
        <v>1654</v>
      </c>
      <c r="B65" s="1391">
        <f ca="1">COUNTA(INDIRECT(A65))</f>
        <v>16</v>
      </c>
      <c r="C65" s="1392" t="s">
        <v>1655</v>
      </c>
      <c r="D65" s="13"/>
      <c r="F65" s="13"/>
      <c r="G65" s="13"/>
      <c r="H65" s="13"/>
    </row>
    <row r="66" spans="1:8" x14ac:dyDescent="0.2">
      <c r="B66" s="1393">
        <v>1</v>
      </c>
      <c r="C66" s="13" t="s">
        <v>261</v>
      </c>
      <c r="D66" s="13"/>
      <c r="F66" s="13"/>
      <c r="G66" s="13"/>
      <c r="H66" s="13"/>
    </row>
    <row r="67" spans="1:8" x14ac:dyDescent="0.2">
      <c r="B67" s="1393">
        <v>2</v>
      </c>
      <c r="C67" s="1395" t="s">
        <v>262</v>
      </c>
      <c r="D67" s="13"/>
      <c r="F67" s="13"/>
      <c r="G67" s="13"/>
      <c r="H67" s="13"/>
    </row>
    <row r="68" spans="1:8" x14ac:dyDescent="0.2">
      <c r="B68" s="1393">
        <v>3</v>
      </c>
      <c r="C68" s="1397" t="s">
        <v>263</v>
      </c>
      <c r="D68" s="13"/>
      <c r="F68" s="13"/>
      <c r="G68" s="13"/>
      <c r="H68" s="13"/>
    </row>
    <row r="69" spans="1:8" x14ac:dyDescent="0.2">
      <c r="B69" s="1393">
        <v>4</v>
      </c>
      <c r="C69" s="1397" t="s">
        <v>264</v>
      </c>
      <c r="D69" s="13"/>
      <c r="F69" s="13"/>
      <c r="G69" s="13"/>
      <c r="H69" s="13"/>
    </row>
    <row r="70" spans="1:8" x14ac:dyDescent="0.2">
      <c r="B70" s="1393">
        <v>5</v>
      </c>
      <c r="C70" s="1397" t="s">
        <v>265</v>
      </c>
      <c r="D70" s="13"/>
      <c r="F70" s="13"/>
      <c r="G70" s="13"/>
      <c r="H70" s="13"/>
    </row>
    <row r="71" spans="1:8" x14ac:dyDescent="0.2">
      <c r="B71" s="1393">
        <v>6</v>
      </c>
      <c r="C71" s="1397" t="s">
        <v>266</v>
      </c>
      <c r="D71" s="13"/>
      <c r="F71" s="13"/>
      <c r="G71" s="13"/>
      <c r="H71" s="13"/>
    </row>
    <row r="72" spans="1:8" x14ac:dyDescent="0.2">
      <c r="B72" s="1393">
        <v>7</v>
      </c>
      <c r="C72" s="1397" t="s">
        <v>188</v>
      </c>
      <c r="D72" s="13"/>
      <c r="F72" s="13"/>
      <c r="G72" s="13"/>
      <c r="H72" s="13"/>
    </row>
    <row r="73" spans="1:8" x14ac:dyDescent="0.2">
      <c r="B73" s="1393">
        <v>8</v>
      </c>
      <c r="C73" s="1397" t="s">
        <v>186</v>
      </c>
      <c r="D73" s="13"/>
      <c r="F73" s="13"/>
      <c r="G73" s="13"/>
      <c r="H73" s="13"/>
    </row>
    <row r="74" spans="1:8" x14ac:dyDescent="0.2">
      <c r="B74" s="1393">
        <v>9</v>
      </c>
      <c r="C74" s="1397" t="s">
        <v>267</v>
      </c>
      <c r="D74" s="13"/>
      <c r="F74" s="13"/>
      <c r="G74" s="13"/>
      <c r="H74" s="13"/>
    </row>
    <row r="75" spans="1:8" x14ac:dyDescent="0.2">
      <c r="B75" s="1393">
        <v>10</v>
      </c>
      <c r="C75" s="1395" t="s">
        <v>268</v>
      </c>
      <c r="D75" s="13"/>
      <c r="F75" s="13"/>
      <c r="G75" s="13"/>
      <c r="H75" s="13"/>
    </row>
    <row r="76" spans="1:8" x14ac:dyDescent="0.2">
      <c r="B76" s="1393">
        <v>11</v>
      </c>
      <c r="C76" s="1397" t="s">
        <v>269</v>
      </c>
      <c r="D76" s="13"/>
      <c r="F76" s="13"/>
      <c r="G76" s="13"/>
      <c r="H76" s="13"/>
    </row>
    <row r="77" spans="1:8" x14ac:dyDescent="0.2">
      <c r="B77" s="1393">
        <v>12</v>
      </c>
      <c r="C77" s="1398" t="s">
        <v>270</v>
      </c>
      <c r="D77" s="13"/>
      <c r="F77" s="13"/>
      <c r="G77" s="13"/>
      <c r="H77" s="13"/>
    </row>
    <row r="78" spans="1:8" x14ac:dyDescent="0.2">
      <c r="B78" s="1393">
        <v>13</v>
      </c>
      <c r="C78" s="1398" t="s">
        <v>271</v>
      </c>
      <c r="D78" s="13"/>
      <c r="F78" s="13"/>
      <c r="G78" s="13"/>
      <c r="H78" s="13"/>
    </row>
    <row r="79" spans="1:8" x14ac:dyDescent="0.2">
      <c r="B79" s="1393">
        <v>14</v>
      </c>
      <c r="C79" s="1397" t="s">
        <v>272</v>
      </c>
      <c r="D79" s="13"/>
      <c r="F79" s="13"/>
      <c r="G79" s="13"/>
      <c r="H79" s="13"/>
    </row>
    <row r="80" spans="1:8" x14ac:dyDescent="0.2">
      <c r="B80" s="1393">
        <v>15</v>
      </c>
      <c r="C80" s="1397" t="s">
        <v>273</v>
      </c>
      <c r="D80" s="13"/>
      <c r="F80" s="13"/>
      <c r="G80" s="13"/>
      <c r="H80" s="13"/>
    </row>
    <row r="81" spans="1:8" x14ac:dyDescent="0.2">
      <c r="B81" s="1393">
        <v>16</v>
      </c>
      <c r="C81" s="1397" t="s">
        <v>274</v>
      </c>
      <c r="D81" s="13"/>
      <c r="F81" s="13"/>
      <c r="G81" s="13"/>
      <c r="H81" s="13"/>
    </row>
    <row r="82" spans="1:8" x14ac:dyDescent="0.2">
      <c r="D82" s="13"/>
      <c r="F82" s="13"/>
      <c r="G82" s="13"/>
      <c r="H82" s="13"/>
    </row>
    <row r="83" spans="1:8" x14ac:dyDescent="0.2">
      <c r="A83" s="1390" t="s">
        <v>1656</v>
      </c>
      <c r="B83" s="1391">
        <f ca="1">COUNTA(INDIRECT(A83))</f>
        <v>18</v>
      </c>
      <c r="C83" s="1392" t="s">
        <v>1657</v>
      </c>
      <c r="D83" s="13"/>
      <c r="F83" s="13"/>
      <c r="G83" s="13"/>
      <c r="H83" s="13"/>
    </row>
    <row r="84" spans="1:8" x14ac:dyDescent="0.2">
      <c r="B84" s="1393">
        <v>1</v>
      </c>
      <c r="C84" s="1395" t="s">
        <v>275</v>
      </c>
      <c r="D84" s="13"/>
      <c r="F84" s="13"/>
      <c r="G84" s="13"/>
      <c r="H84" s="13"/>
    </row>
    <row r="85" spans="1:8" x14ac:dyDescent="0.2">
      <c r="B85" s="1393">
        <v>2</v>
      </c>
      <c r="C85" s="1397" t="s">
        <v>276</v>
      </c>
      <c r="D85" s="13"/>
      <c r="F85" s="13"/>
      <c r="G85" s="13"/>
      <c r="H85" s="13"/>
    </row>
    <row r="86" spans="1:8" x14ac:dyDescent="0.2">
      <c r="B86" s="1393">
        <v>3</v>
      </c>
      <c r="C86" s="1399" t="s">
        <v>195</v>
      </c>
      <c r="D86" s="13"/>
      <c r="F86" s="13"/>
      <c r="G86" s="13"/>
      <c r="H86" s="13"/>
    </row>
    <row r="87" spans="1:8" x14ac:dyDescent="0.2">
      <c r="B87" s="1393">
        <v>4</v>
      </c>
      <c r="C87" s="1399" t="s">
        <v>277</v>
      </c>
      <c r="D87" s="13"/>
      <c r="F87" s="13"/>
      <c r="G87" s="13"/>
      <c r="H87" s="13"/>
    </row>
    <row r="88" spans="1:8" x14ac:dyDescent="0.2">
      <c r="B88" s="1393">
        <v>5</v>
      </c>
      <c r="C88" s="1399" t="s">
        <v>278</v>
      </c>
      <c r="D88" s="13"/>
      <c r="F88" s="13"/>
      <c r="G88" s="13"/>
      <c r="H88" s="13"/>
    </row>
    <row r="89" spans="1:8" x14ac:dyDescent="0.2">
      <c r="B89" s="1393">
        <v>6</v>
      </c>
      <c r="C89" s="1399" t="s">
        <v>279</v>
      </c>
      <c r="D89" s="13"/>
      <c r="F89" s="13"/>
      <c r="G89" s="13"/>
      <c r="H89" s="13"/>
    </row>
    <row r="90" spans="1:8" x14ac:dyDescent="0.2">
      <c r="B90" s="1393">
        <v>7</v>
      </c>
      <c r="C90" s="1399" t="s">
        <v>280</v>
      </c>
      <c r="D90" s="13"/>
      <c r="F90" s="13"/>
      <c r="G90" s="13"/>
      <c r="H90" s="13"/>
    </row>
    <row r="91" spans="1:8" x14ac:dyDescent="0.2">
      <c r="B91" s="1393">
        <v>8</v>
      </c>
      <c r="C91" s="1399" t="s">
        <v>281</v>
      </c>
      <c r="D91" s="13"/>
      <c r="F91" s="13"/>
      <c r="G91" s="13"/>
      <c r="H91" s="13"/>
    </row>
    <row r="92" spans="1:8" x14ac:dyDescent="0.2">
      <c r="B92" s="1393">
        <v>9</v>
      </c>
      <c r="C92" s="1399" t="s">
        <v>282</v>
      </c>
      <c r="D92" s="13"/>
      <c r="F92" s="13"/>
      <c r="G92" s="13"/>
      <c r="H92" s="13"/>
    </row>
    <row r="93" spans="1:8" x14ac:dyDescent="0.2">
      <c r="B93" s="1393">
        <v>10</v>
      </c>
      <c r="C93" s="1399" t="s">
        <v>283</v>
      </c>
      <c r="D93" s="13"/>
      <c r="F93" s="13"/>
      <c r="G93" s="13"/>
      <c r="H93" s="13"/>
    </row>
    <row r="94" spans="1:8" x14ac:dyDescent="0.2">
      <c r="B94" s="1393">
        <v>11</v>
      </c>
      <c r="C94" s="1399" t="s">
        <v>284</v>
      </c>
      <c r="D94" s="13"/>
      <c r="F94" s="13"/>
      <c r="G94" s="13"/>
      <c r="H94" s="13"/>
    </row>
    <row r="95" spans="1:8" x14ac:dyDescent="0.2">
      <c r="B95" s="1393">
        <v>12</v>
      </c>
      <c r="C95" s="1399" t="s">
        <v>285</v>
      </c>
      <c r="D95" s="13"/>
      <c r="F95" s="13"/>
      <c r="G95" s="13"/>
      <c r="H95" s="13"/>
    </row>
    <row r="96" spans="1:8" x14ac:dyDescent="0.2">
      <c r="B96" s="1393">
        <v>13</v>
      </c>
      <c r="C96" s="1399" t="s">
        <v>286</v>
      </c>
      <c r="D96" s="13"/>
      <c r="F96" s="13"/>
      <c r="G96" s="13"/>
      <c r="H96" s="13"/>
    </row>
    <row r="97" spans="1:8" x14ac:dyDescent="0.2">
      <c r="B97" s="1393">
        <v>14</v>
      </c>
      <c r="C97" s="1399" t="s">
        <v>287</v>
      </c>
      <c r="D97" s="13"/>
      <c r="F97" s="13"/>
      <c r="G97" s="13"/>
      <c r="H97" s="13"/>
    </row>
    <row r="98" spans="1:8" x14ac:dyDescent="0.2">
      <c r="B98" s="1393">
        <v>15</v>
      </c>
      <c r="C98" s="1400" t="s">
        <v>288</v>
      </c>
      <c r="D98" s="13"/>
      <c r="F98" s="13"/>
      <c r="G98" s="13"/>
      <c r="H98" s="13"/>
    </row>
    <row r="99" spans="1:8" x14ac:dyDescent="0.2">
      <c r="B99" s="1393">
        <v>16</v>
      </c>
      <c r="C99" s="1399" t="s">
        <v>204</v>
      </c>
      <c r="D99" s="13"/>
      <c r="F99" s="13"/>
      <c r="G99" s="13"/>
      <c r="H99" s="13"/>
    </row>
    <row r="100" spans="1:8" x14ac:dyDescent="0.2">
      <c r="B100" s="1393">
        <v>17</v>
      </c>
      <c r="C100" s="1399" t="s">
        <v>289</v>
      </c>
      <c r="D100" s="13"/>
      <c r="F100" s="13"/>
      <c r="G100" s="13"/>
      <c r="H100" s="13"/>
    </row>
    <row r="101" spans="1:8" x14ac:dyDescent="0.2">
      <c r="B101" s="1393">
        <v>18</v>
      </c>
      <c r="C101" s="1399" t="s">
        <v>290</v>
      </c>
      <c r="D101" s="13"/>
      <c r="F101" s="13"/>
      <c r="G101" s="13"/>
      <c r="H101" s="13"/>
    </row>
    <row r="102" spans="1:8" x14ac:dyDescent="0.2">
      <c r="D102" s="13"/>
      <c r="F102" s="13"/>
      <c r="G102" s="13"/>
      <c r="H102" s="13"/>
    </row>
    <row r="103" spans="1:8" x14ac:dyDescent="0.2">
      <c r="A103" s="1390" t="s">
        <v>1658</v>
      </c>
      <c r="B103" s="1391">
        <f ca="1">COUNTA(INDIRECT(A103))</f>
        <v>7</v>
      </c>
      <c r="C103" s="1392" t="s">
        <v>1659</v>
      </c>
      <c r="D103" s="13"/>
      <c r="F103" s="13"/>
      <c r="G103" s="13"/>
      <c r="H103" s="13"/>
    </row>
    <row r="104" spans="1:8" x14ac:dyDescent="0.2">
      <c r="B104" s="1393">
        <v>1</v>
      </c>
      <c r="C104" s="1395" t="s">
        <v>709</v>
      </c>
      <c r="D104" s="13"/>
      <c r="F104" s="13"/>
      <c r="G104" s="13"/>
      <c r="H104" s="13"/>
    </row>
    <row r="105" spans="1:8" x14ac:dyDescent="0.2">
      <c r="B105" s="1393">
        <f t="shared" ref="B105:B110" si="1">B104+1</f>
        <v>2</v>
      </c>
      <c r="C105" s="1401" t="s">
        <v>710</v>
      </c>
      <c r="D105" s="13"/>
      <c r="F105" s="13"/>
      <c r="G105" s="13"/>
      <c r="H105" s="13"/>
    </row>
    <row r="106" spans="1:8" x14ac:dyDescent="0.2">
      <c r="B106" s="1393">
        <f t="shared" si="1"/>
        <v>3</v>
      </c>
      <c r="C106" s="1401" t="s">
        <v>350</v>
      </c>
      <c r="D106" s="13"/>
      <c r="F106" s="13"/>
      <c r="G106" s="13"/>
      <c r="H106" s="13"/>
    </row>
    <row r="107" spans="1:8" x14ac:dyDescent="0.2">
      <c r="B107" s="1393">
        <f t="shared" si="1"/>
        <v>4</v>
      </c>
      <c r="C107" s="1401" t="s">
        <v>1660</v>
      </c>
      <c r="D107" s="13"/>
      <c r="F107" s="13"/>
      <c r="G107" s="13"/>
      <c r="H107" s="13"/>
    </row>
    <row r="108" spans="1:8" x14ac:dyDescent="0.2">
      <c r="B108" s="1393">
        <f t="shared" si="1"/>
        <v>5</v>
      </c>
      <c r="C108" s="1400" t="s">
        <v>706</v>
      </c>
      <c r="D108" s="13"/>
      <c r="F108" s="13"/>
      <c r="G108" s="13"/>
      <c r="H108" s="13"/>
    </row>
    <row r="109" spans="1:8" x14ac:dyDescent="0.2">
      <c r="B109" s="1393">
        <f t="shared" si="1"/>
        <v>6</v>
      </c>
      <c r="C109" s="1400" t="s">
        <v>707</v>
      </c>
      <c r="D109" s="13"/>
      <c r="F109" s="13"/>
      <c r="G109" s="13"/>
      <c r="H109" s="13"/>
    </row>
    <row r="110" spans="1:8" x14ac:dyDescent="0.2">
      <c r="B110" s="1393">
        <f t="shared" si="1"/>
        <v>7</v>
      </c>
      <c r="C110" s="1400" t="s">
        <v>711</v>
      </c>
      <c r="D110" s="13"/>
      <c r="F110" s="13"/>
      <c r="G110" s="13"/>
      <c r="H110" s="13"/>
    </row>
    <row r="111" spans="1:8" x14ac:dyDescent="0.2">
      <c r="D111" s="13"/>
      <c r="F111" s="13"/>
      <c r="G111" s="13"/>
      <c r="H111" s="13"/>
    </row>
    <row r="112" spans="1:8" x14ac:dyDescent="0.2">
      <c r="A112" s="1390" t="s">
        <v>1661</v>
      </c>
      <c r="B112" s="1391">
        <f ca="1">COUNTA(INDIRECT(A112))</f>
        <v>15</v>
      </c>
      <c r="C112" s="13" t="s">
        <v>1662</v>
      </c>
      <c r="D112" s="13"/>
      <c r="F112" s="13"/>
      <c r="G112" s="13"/>
      <c r="H112" s="13"/>
    </row>
    <row r="113" spans="1:8" x14ac:dyDescent="0.2">
      <c r="A113" s="13"/>
      <c r="B113" s="1393">
        <v>1</v>
      </c>
      <c r="C113" s="13" t="s">
        <v>1663</v>
      </c>
      <c r="D113" s="13"/>
      <c r="F113" s="13"/>
      <c r="G113" s="13"/>
      <c r="H113" s="13"/>
    </row>
    <row r="114" spans="1:8" x14ac:dyDescent="0.2">
      <c r="A114" s="13"/>
      <c r="B114" s="1393">
        <f t="shared" ref="B114:B127" si="2">B113+1</f>
        <v>2</v>
      </c>
      <c r="C114" s="1395" t="s">
        <v>1664</v>
      </c>
      <c r="D114" s="13"/>
      <c r="F114" s="13"/>
      <c r="G114" s="13"/>
      <c r="H114" s="13"/>
    </row>
    <row r="115" spans="1:8" x14ac:dyDescent="0.2">
      <c r="A115" s="13"/>
      <c r="B115" s="1393">
        <f t="shared" si="2"/>
        <v>3</v>
      </c>
      <c r="C115" s="1395" t="s">
        <v>1665</v>
      </c>
      <c r="D115" s="13"/>
      <c r="F115" s="13"/>
      <c r="G115" s="13"/>
      <c r="H115" s="13"/>
    </row>
    <row r="116" spans="1:8" x14ac:dyDescent="0.2">
      <c r="A116" s="13"/>
      <c r="B116" s="1393">
        <f t="shared" si="2"/>
        <v>4</v>
      </c>
      <c r="C116" s="1395" t="s">
        <v>1666</v>
      </c>
      <c r="D116" s="13"/>
      <c r="F116" s="13"/>
      <c r="G116" s="13"/>
      <c r="H116" s="13"/>
    </row>
    <row r="117" spans="1:8" x14ac:dyDescent="0.2">
      <c r="A117" s="13"/>
      <c r="B117" s="1393">
        <f t="shared" si="2"/>
        <v>5</v>
      </c>
      <c r="C117" s="1395" t="s">
        <v>1667</v>
      </c>
      <c r="D117" s="13"/>
      <c r="F117" s="13"/>
      <c r="G117" s="13"/>
      <c r="H117" s="13"/>
    </row>
    <row r="118" spans="1:8" x14ac:dyDescent="0.2">
      <c r="A118" s="13"/>
      <c r="B118" s="1393">
        <f t="shared" si="2"/>
        <v>6</v>
      </c>
      <c r="C118" s="1397" t="s">
        <v>1668</v>
      </c>
      <c r="D118" s="13"/>
      <c r="F118" s="13"/>
      <c r="G118" s="13"/>
      <c r="H118" s="13"/>
    </row>
    <row r="119" spans="1:8" x14ac:dyDescent="0.2">
      <c r="A119" s="13"/>
      <c r="B119" s="1393">
        <f t="shared" si="2"/>
        <v>7</v>
      </c>
      <c r="C119" s="1397" t="s">
        <v>1669</v>
      </c>
      <c r="D119" s="13"/>
      <c r="F119" s="13"/>
      <c r="G119" s="13"/>
      <c r="H119" s="13"/>
    </row>
    <row r="120" spans="1:8" x14ac:dyDescent="0.2">
      <c r="A120" s="13"/>
      <c r="B120" s="1393">
        <f t="shared" si="2"/>
        <v>8</v>
      </c>
      <c r="C120" s="1397" t="s">
        <v>1670</v>
      </c>
      <c r="D120" s="13"/>
      <c r="F120" s="13"/>
      <c r="G120" s="13"/>
      <c r="H120" s="13"/>
    </row>
    <row r="121" spans="1:8" x14ac:dyDescent="0.2">
      <c r="A121" s="13"/>
      <c r="B121" s="1393">
        <f t="shared" si="2"/>
        <v>9</v>
      </c>
      <c r="C121" s="13" t="s">
        <v>1671</v>
      </c>
      <c r="D121" s="13"/>
      <c r="F121" s="13"/>
      <c r="G121" s="13"/>
      <c r="H121" s="13"/>
    </row>
    <row r="122" spans="1:8" x14ac:dyDescent="0.2">
      <c r="A122" s="13"/>
      <c r="B122" s="1393">
        <f t="shared" si="2"/>
        <v>10</v>
      </c>
      <c r="C122" s="1395" t="s">
        <v>1672</v>
      </c>
      <c r="D122" s="13"/>
      <c r="F122" s="13"/>
      <c r="G122" s="13"/>
      <c r="H122" s="13"/>
    </row>
    <row r="123" spans="1:8" x14ac:dyDescent="0.2">
      <c r="B123" s="1393">
        <f t="shared" si="2"/>
        <v>11</v>
      </c>
      <c r="C123" s="1401" t="s">
        <v>1673</v>
      </c>
      <c r="D123" s="13"/>
      <c r="F123" s="13"/>
      <c r="G123" s="13"/>
      <c r="H123" s="13"/>
    </row>
    <row r="124" spans="1:8" x14ac:dyDescent="0.2">
      <c r="B124" s="1393">
        <f t="shared" si="2"/>
        <v>12</v>
      </c>
      <c r="C124" s="1401" t="s">
        <v>962</v>
      </c>
    </row>
    <row r="125" spans="1:8" x14ac:dyDescent="0.2">
      <c r="B125" s="1393">
        <f t="shared" si="2"/>
        <v>13</v>
      </c>
      <c r="C125" s="1401" t="s">
        <v>1674</v>
      </c>
    </row>
    <row r="126" spans="1:8" x14ac:dyDescent="0.2">
      <c r="B126" s="1393">
        <f t="shared" si="2"/>
        <v>14</v>
      </c>
      <c r="C126" s="1401" t="s">
        <v>1675</v>
      </c>
    </row>
    <row r="127" spans="1:8" x14ac:dyDescent="0.2">
      <c r="B127" s="1393">
        <f t="shared" si="2"/>
        <v>15</v>
      </c>
      <c r="C127" s="1401" t="s">
        <v>963</v>
      </c>
    </row>
    <row r="130" spans="1:4" ht="14.25" x14ac:dyDescent="0.2">
      <c r="A130" s="1390" t="s">
        <v>1676</v>
      </c>
      <c r="B130" s="1391">
        <f ca="1">COUNTA(INDIRECT(A130))</f>
        <v>37</v>
      </c>
      <c r="C130" t="s">
        <v>1677</v>
      </c>
      <c r="D130" s="1402" t="s">
        <v>1678</v>
      </c>
    </row>
    <row r="131" spans="1:4" x14ac:dyDescent="0.2">
      <c r="B131" s="1393">
        <v>1</v>
      </c>
      <c r="C131" s="1401" t="s">
        <v>1633</v>
      </c>
    </row>
    <row r="132" spans="1:4" x14ac:dyDescent="0.2">
      <c r="B132" s="1393">
        <f t="shared" ref="B132:B167" si="3">B131+1</f>
        <v>2</v>
      </c>
      <c r="C132" s="1401" t="s">
        <v>1583</v>
      </c>
    </row>
    <row r="133" spans="1:4" x14ac:dyDescent="0.2">
      <c r="B133" s="1393">
        <f t="shared" si="3"/>
        <v>3</v>
      </c>
      <c r="C133" s="1401" t="s">
        <v>1584</v>
      </c>
    </row>
    <row r="134" spans="1:4" x14ac:dyDescent="0.2">
      <c r="B134" s="1393">
        <f t="shared" si="3"/>
        <v>4</v>
      </c>
      <c r="C134" s="1401" t="s">
        <v>767</v>
      </c>
    </row>
    <row r="135" spans="1:4" x14ac:dyDescent="0.2">
      <c r="B135" s="1393">
        <f t="shared" si="3"/>
        <v>5</v>
      </c>
      <c r="C135" s="1401" t="s">
        <v>1679</v>
      </c>
    </row>
    <row r="136" spans="1:4" x14ac:dyDescent="0.2">
      <c r="B136" s="1393">
        <f t="shared" si="3"/>
        <v>6</v>
      </c>
      <c r="C136" s="1401" t="s">
        <v>1680</v>
      </c>
    </row>
    <row r="137" spans="1:4" x14ac:dyDescent="0.2">
      <c r="B137" s="1393">
        <f t="shared" si="3"/>
        <v>7</v>
      </c>
      <c r="C137" s="1401" t="s">
        <v>1681</v>
      </c>
    </row>
    <row r="138" spans="1:4" x14ac:dyDescent="0.2">
      <c r="B138" s="1393">
        <f t="shared" si="3"/>
        <v>8</v>
      </c>
      <c r="C138" s="1401" t="s">
        <v>1682</v>
      </c>
    </row>
    <row r="139" spans="1:4" x14ac:dyDescent="0.2">
      <c r="B139" s="1393">
        <f t="shared" si="3"/>
        <v>9</v>
      </c>
      <c r="C139" s="1401" t="s">
        <v>1585</v>
      </c>
    </row>
    <row r="140" spans="1:4" x14ac:dyDescent="0.2">
      <c r="B140" s="1393">
        <f t="shared" si="3"/>
        <v>10</v>
      </c>
      <c r="C140" s="1401" t="s">
        <v>1586</v>
      </c>
    </row>
    <row r="141" spans="1:4" x14ac:dyDescent="0.2">
      <c r="B141" s="1393">
        <f t="shared" si="3"/>
        <v>11</v>
      </c>
      <c r="C141" s="1401" t="s">
        <v>1587</v>
      </c>
    </row>
    <row r="142" spans="1:4" x14ac:dyDescent="0.2">
      <c r="B142" s="1393">
        <f t="shared" si="3"/>
        <v>12</v>
      </c>
      <c r="C142" s="1401" t="s">
        <v>1588</v>
      </c>
    </row>
    <row r="143" spans="1:4" x14ac:dyDescent="0.2">
      <c r="B143" s="1393">
        <f t="shared" si="3"/>
        <v>13</v>
      </c>
      <c r="C143" s="1401" t="s">
        <v>877</v>
      </c>
    </row>
    <row r="144" spans="1:4" x14ac:dyDescent="0.2">
      <c r="B144" s="1393">
        <f t="shared" si="3"/>
        <v>14</v>
      </c>
      <c r="C144" s="1401" t="s">
        <v>1683</v>
      </c>
    </row>
    <row r="145" spans="2:3" x14ac:dyDescent="0.2">
      <c r="B145" s="1393">
        <f t="shared" si="3"/>
        <v>15</v>
      </c>
      <c r="C145" s="1401" t="s">
        <v>1589</v>
      </c>
    </row>
    <row r="146" spans="2:3" x14ac:dyDescent="0.2">
      <c r="B146" s="1393">
        <f t="shared" si="3"/>
        <v>16</v>
      </c>
      <c r="C146" s="1401" t="s">
        <v>1684</v>
      </c>
    </row>
    <row r="147" spans="2:3" x14ac:dyDescent="0.2">
      <c r="B147" s="1393">
        <f t="shared" si="3"/>
        <v>17</v>
      </c>
      <c r="C147" s="1401" t="s">
        <v>1590</v>
      </c>
    </row>
    <row r="148" spans="2:3" x14ac:dyDescent="0.2">
      <c r="B148" s="1393">
        <f t="shared" si="3"/>
        <v>18</v>
      </c>
      <c r="C148" s="1401" t="s">
        <v>723</v>
      </c>
    </row>
    <row r="149" spans="2:3" x14ac:dyDescent="0.2">
      <c r="B149" s="1393">
        <f t="shared" si="3"/>
        <v>19</v>
      </c>
      <c r="C149" s="1401" t="s">
        <v>888</v>
      </c>
    </row>
    <row r="150" spans="2:3" x14ac:dyDescent="0.2">
      <c r="B150" s="1393">
        <f t="shared" si="3"/>
        <v>20</v>
      </c>
      <c r="C150" s="1401" t="s">
        <v>1685</v>
      </c>
    </row>
    <row r="151" spans="2:3" x14ac:dyDescent="0.2">
      <c r="B151" s="1393">
        <f t="shared" si="3"/>
        <v>21</v>
      </c>
      <c r="C151" s="1401" t="s">
        <v>1686</v>
      </c>
    </row>
    <row r="152" spans="2:3" x14ac:dyDescent="0.2">
      <c r="B152" s="1393">
        <f t="shared" si="3"/>
        <v>22</v>
      </c>
      <c r="C152" s="1401" t="s">
        <v>1687</v>
      </c>
    </row>
    <row r="153" spans="2:3" x14ac:dyDescent="0.2">
      <c r="B153" s="1393">
        <f t="shared" si="3"/>
        <v>23</v>
      </c>
      <c r="C153" s="1401" t="s">
        <v>1688</v>
      </c>
    </row>
    <row r="154" spans="2:3" x14ac:dyDescent="0.2">
      <c r="B154" s="1393">
        <f t="shared" si="3"/>
        <v>24</v>
      </c>
      <c r="C154" s="1401" t="s">
        <v>1591</v>
      </c>
    </row>
    <row r="155" spans="2:3" x14ac:dyDescent="0.2">
      <c r="B155" s="1393">
        <f t="shared" si="3"/>
        <v>25</v>
      </c>
      <c r="C155" s="1401" t="s">
        <v>1635</v>
      </c>
    </row>
    <row r="156" spans="2:3" x14ac:dyDescent="0.2">
      <c r="B156" s="1393">
        <f t="shared" si="3"/>
        <v>26</v>
      </c>
      <c r="C156" s="1401" t="s">
        <v>1608</v>
      </c>
    </row>
    <row r="157" spans="2:3" x14ac:dyDescent="0.2">
      <c r="B157" s="1393">
        <f t="shared" si="3"/>
        <v>27</v>
      </c>
      <c r="C157" s="1401" t="s">
        <v>1592</v>
      </c>
    </row>
    <row r="158" spans="2:3" x14ac:dyDescent="0.2">
      <c r="B158" s="1393">
        <f t="shared" si="3"/>
        <v>28</v>
      </c>
      <c r="C158" s="1401" t="s">
        <v>1689</v>
      </c>
    </row>
    <row r="159" spans="2:3" x14ac:dyDescent="0.2">
      <c r="B159" s="1393">
        <f t="shared" si="3"/>
        <v>29</v>
      </c>
      <c r="C159" s="1401" t="s">
        <v>902</v>
      </c>
    </row>
    <row r="160" spans="2:3" x14ac:dyDescent="0.2">
      <c r="B160" s="1393">
        <f t="shared" si="3"/>
        <v>30</v>
      </c>
      <c r="C160" s="1401" t="s">
        <v>1690</v>
      </c>
    </row>
    <row r="161" spans="2:3" x14ac:dyDescent="0.2">
      <c r="B161" s="1393">
        <f t="shared" si="3"/>
        <v>31</v>
      </c>
      <c r="C161" s="1401" t="s">
        <v>1594</v>
      </c>
    </row>
    <row r="162" spans="2:3" x14ac:dyDescent="0.2">
      <c r="B162" s="1393">
        <f t="shared" si="3"/>
        <v>32</v>
      </c>
      <c r="C162" s="1401" t="s">
        <v>1595</v>
      </c>
    </row>
    <row r="163" spans="2:3" x14ac:dyDescent="0.2">
      <c r="B163" s="1393">
        <f t="shared" si="3"/>
        <v>33</v>
      </c>
      <c r="C163" s="1401" t="s">
        <v>1616</v>
      </c>
    </row>
    <row r="164" spans="2:3" x14ac:dyDescent="0.2">
      <c r="B164" s="1393">
        <f t="shared" si="3"/>
        <v>34</v>
      </c>
      <c r="C164" s="1401" t="s">
        <v>1618</v>
      </c>
    </row>
    <row r="165" spans="2:3" x14ac:dyDescent="0.2">
      <c r="B165" s="1393">
        <f t="shared" si="3"/>
        <v>35</v>
      </c>
      <c r="C165" s="1401" t="s">
        <v>1691</v>
      </c>
    </row>
    <row r="166" spans="2:3" x14ac:dyDescent="0.2">
      <c r="B166" s="1393">
        <f t="shared" si="3"/>
        <v>36</v>
      </c>
      <c r="C166" s="1401" t="s">
        <v>1692</v>
      </c>
    </row>
    <row r="167" spans="2:3" x14ac:dyDescent="0.2">
      <c r="B167" s="1393">
        <f t="shared" si="3"/>
        <v>37</v>
      </c>
      <c r="C167" s="1401" t="s">
        <v>1693</v>
      </c>
    </row>
  </sheetData>
  <hyperlinks>
    <hyperlink ref="D130" r:id="rId1"/>
  </hyperlinks>
  <pageMargins left="0.7" right="0.7" top="0.75" bottom="0.75" header="0.3" footer="0.3"/>
  <pageSetup paperSize="9"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70C0"/>
    <pageSetUpPr fitToPage="1"/>
  </sheetPr>
  <dimension ref="A1:G51"/>
  <sheetViews>
    <sheetView workbookViewId="0">
      <selection activeCell="A4" sqref="A4"/>
    </sheetView>
  </sheetViews>
  <sheetFormatPr defaultRowHeight="12.75" x14ac:dyDescent="0.2"/>
  <cols>
    <col min="1" max="1" width="54" customWidth="1"/>
    <col min="2" max="2" width="3.5703125" customWidth="1"/>
    <col min="3" max="3" width="10.5703125" customWidth="1"/>
    <col min="4" max="4" width="12" customWidth="1"/>
    <col min="5" max="5" width="38.28515625" customWidth="1"/>
    <col min="6" max="6" width="1.7109375" customWidth="1"/>
    <col min="7" max="7" width="2" customWidth="1"/>
  </cols>
  <sheetData>
    <row r="1" spans="1:7" ht="14.25" x14ac:dyDescent="0.2">
      <c r="A1" s="93" t="str">
        <f>FT15.Participant!$A$1</f>
        <v>&lt;IAIG's Name&gt;</v>
      </c>
      <c r="B1" s="94"/>
      <c r="C1" s="94"/>
      <c r="D1" s="94"/>
      <c r="E1" s="95" t="str">
        <f ca="1">HYPERLINK("#"&amp;CELL("address",FT15.IndexSheet),Version)</f>
        <v>2015 IAIS Field Testing Template</v>
      </c>
      <c r="G1" s="96" t="s">
        <v>87</v>
      </c>
    </row>
    <row r="2" spans="1:7" ht="15" x14ac:dyDescent="0.25">
      <c r="A2" s="97" t="str">
        <f>FT15.Participant!$A$2</f>
        <v>&lt;Currency&gt; - (&lt;Unit&gt;)</v>
      </c>
      <c r="B2" s="98" t="s">
        <v>102</v>
      </c>
      <c r="C2" s="99"/>
      <c r="D2" s="99"/>
      <c r="E2" s="100" t="str">
        <f>FT15.Participant!$E$2</f>
        <v xml:space="preserve">&lt;Reporting Date&gt; - </v>
      </c>
      <c r="G2" s="96" t="s">
        <v>87</v>
      </c>
    </row>
    <row r="3" spans="1:7" ht="14.25" x14ac:dyDescent="0.2">
      <c r="G3" s="96" t="s">
        <v>87</v>
      </c>
    </row>
    <row r="4" spans="1:7" ht="15" x14ac:dyDescent="0.2">
      <c r="A4" s="120" t="s">
        <v>103</v>
      </c>
      <c r="B4" s="121"/>
      <c r="C4" s="121"/>
      <c r="D4" s="121"/>
      <c r="E4" s="122"/>
      <c r="G4" s="96" t="s">
        <v>87</v>
      </c>
    </row>
    <row r="5" spans="1:7" ht="15.75" x14ac:dyDescent="0.25">
      <c r="A5" s="123"/>
      <c r="B5" s="124">
        <v>2</v>
      </c>
      <c r="C5" s="105">
        <v>1</v>
      </c>
      <c r="D5" s="106">
        <v>2</v>
      </c>
      <c r="E5" s="125"/>
      <c r="G5" s="96" t="s">
        <v>87</v>
      </c>
    </row>
    <row r="6" spans="1:7" ht="15" x14ac:dyDescent="0.25">
      <c r="A6" s="126" t="s">
        <v>104</v>
      </c>
      <c r="B6" s="108">
        <v>1</v>
      </c>
      <c r="C6" s="127">
        <f>SUM(C8:C12)</f>
        <v>0</v>
      </c>
      <c r="D6" s="127">
        <f>SUM(D8:D12)</f>
        <v>0</v>
      </c>
      <c r="E6" s="128" t="s">
        <v>105</v>
      </c>
      <c r="G6" s="96" t="s">
        <v>87</v>
      </c>
    </row>
    <row r="7" spans="1:7" ht="14.25" x14ac:dyDescent="0.2">
      <c r="A7" s="129" t="s">
        <v>106</v>
      </c>
      <c r="B7" s="108"/>
      <c r="C7" s="130"/>
      <c r="D7" s="130"/>
      <c r="E7" s="131" t="s">
        <v>106</v>
      </c>
      <c r="G7" s="96" t="s">
        <v>87</v>
      </c>
    </row>
    <row r="8" spans="1:7" ht="14.25" x14ac:dyDescent="0.2">
      <c r="A8" s="132" t="s">
        <v>107</v>
      </c>
      <c r="B8" s="108">
        <v>2</v>
      </c>
      <c r="C8" s="133">
        <f>SUM(C16)</f>
        <v>0</v>
      </c>
      <c r="D8" s="133">
        <f>C18</f>
        <v>0</v>
      </c>
      <c r="E8" s="134" t="s">
        <v>107</v>
      </c>
      <c r="G8" s="96" t="s">
        <v>87</v>
      </c>
    </row>
    <row r="9" spans="1:7" ht="14.25" x14ac:dyDescent="0.2">
      <c r="A9" s="132" t="s">
        <v>108</v>
      </c>
      <c r="B9" s="108">
        <v>3</v>
      </c>
      <c r="C9" s="133">
        <f>SUM(D16)</f>
        <v>0</v>
      </c>
      <c r="D9" s="135">
        <f>D18</f>
        <v>0</v>
      </c>
      <c r="E9" s="134" t="s">
        <v>108</v>
      </c>
      <c r="G9" s="96" t="s">
        <v>87</v>
      </c>
    </row>
    <row r="10" spans="1:7" ht="14.25" x14ac:dyDescent="0.2">
      <c r="A10" s="132" t="s">
        <v>109</v>
      </c>
      <c r="B10" s="108">
        <v>4</v>
      </c>
      <c r="C10" s="133">
        <f>SUM(C28)</f>
        <v>0</v>
      </c>
      <c r="D10" s="135">
        <f>SUM(C32:C34)</f>
        <v>0</v>
      </c>
      <c r="E10" s="136" t="s">
        <v>109</v>
      </c>
      <c r="G10" s="96" t="s">
        <v>87</v>
      </c>
    </row>
    <row r="11" spans="1:7" ht="14.25" x14ac:dyDescent="0.2">
      <c r="A11" s="132" t="s">
        <v>110</v>
      </c>
      <c r="B11" s="108">
        <v>5</v>
      </c>
      <c r="C11" s="133">
        <f>SUM(D44)</f>
        <v>0</v>
      </c>
      <c r="D11" s="137" t="s">
        <v>90</v>
      </c>
      <c r="E11" s="134" t="s">
        <v>110</v>
      </c>
      <c r="G11" s="96" t="s">
        <v>87</v>
      </c>
    </row>
    <row r="12" spans="1:7" ht="14.25" x14ac:dyDescent="0.2">
      <c r="A12" s="138" t="s">
        <v>111</v>
      </c>
      <c r="B12" s="119">
        <v>6</v>
      </c>
      <c r="C12" s="139" t="s">
        <v>90</v>
      </c>
      <c r="D12" s="139" t="s">
        <v>90</v>
      </c>
      <c r="E12" s="140" t="s">
        <v>111</v>
      </c>
      <c r="G12" s="96" t="s">
        <v>87</v>
      </c>
    </row>
    <row r="13" spans="1:7" ht="14.25" x14ac:dyDescent="0.2">
      <c r="G13" s="96" t="s">
        <v>87</v>
      </c>
    </row>
    <row r="14" spans="1:7" ht="25.5" x14ac:dyDescent="0.25">
      <c r="A14" s="141" t="s">
        <v>112</v>
      </c>
      <c r="B14" s="142"/>
      <c r="C14" s="143" t="s">
        <v>113</v>
      </c>
      <c r="D14" s="143" t="s">
        <v>114</v>
      </c>
      <c r="G14" s="96" t="s">
        <v>87</v>
      </c>
    </row>
    <row r="15" spans="1:7" ht="15.75" x14ac:dyDescent="0.25">
      <c r="A15" s="123"/>
      <c r="B15" s="124">
        <v>3</v>
      </c>
      <c r="C15" s="105">
        <v>1</v>
      </c>
      <c r="D15" s="106">
        <v>2</v>
      </c>
      <c r="G15" s="96" t="s">
        <v>87</v>
      </c>
    </row>
    <row r="16" spans="1:7" ht="15" x14ac:dyDescent="0.25">
      <c r="A16" s="126" t="s">
        <v>115</v>
      </c>
      <c r="B16" s="108">
        <v>1</v>
      </c>
      <c r="C16" s="144" t="s">
        <v>90</v>
      </c>
      <c r="D16" s="144" t="s">
        <v>90</v>
      </c>
      <c r="G16" s="96" t="s">
        <v>87</v>
      </c>
    </row>
    <row r="17" spans="1:7" ht="14.25" x14ac:dyDescent="0.2">
      <c r="A17" s="145"/>
      <c r="B17" s="108"/>
      <c r="C17" s="145"/>
      <c r="D17" s="111"/>
      <c r="G17" s="96" t="s">
        <v>87</v>
      </c>
    </row>
    <row r="18" spans="1:7" ht="15" x14ac:dyDescent="0.25">
      <c r="A18" s="126" t="s">
        <v>116</v>
      </c>
      <c r="B18" s="108">
        <v>2</v>
      </c>
      <c r="C18" s="127">
        <f>SUM(C19:C21)</f>
        <v>0</v>
      </c>
      <c r="D18" s="127">
        <f>SUM(D19:D21)</f>
        <v>0</v>
      </c>
      <c r="G18" s="96" t="s">
        <v>87</v>
      </c>
    </row>
    <row r="19" spans="1:7" ht="14.25" x14ac:dyDescent="0.2">
      <c r="A19" s="146" t="s">
        <v>117</v>
      </c>
      <c r="B19" s="108">
        <v>3</v>
      </c>
      <c r="C19" s="137" t="s">
        <v>90</v>
      </c>
      <c r="D19" s="137" t="s">
        <v>90</v>
      </c>
      <c r="G19" s="96" t="s">
        <v>87</v>
      </c>
    </row>
    <row r="20" spans="1:7" ht="14.25" x14ac:dyDescent="0.2">
      <c r="A20" s="129" t="s">
        <v>118</v>
      </c>
      <c r="B20" s="108">
        <v>4</v>
      </c>
      <c r="C20" s="137" t="s">
        <v>90</v>
      </c>
      <c r="D20" s="137" t="s">
        <v>90</v>
      </c>
      <c r="G20" s="96" t="s">
        <v>87</v>
      </c>
    </row>
    <row r="21" spans="1:7" ht="14.25" x14ac:dyDescent="0.2">
      <c r="A21" s="147" t="s">
        <v>119</v>
      </c>
      <c r="B21" s="119">
        <v>5</v>
      </c>
      <c r="C21" s="139" t="s">
        <v>90</v>
      </c>
      <c r="D21" s="139" t="s">
        <v>90</v>
      </c>
      <c r="G21" s="96" t="s">
        <v>87</v>
      </c>
    </row>
    <row r="22" spans="1:7" ht="14.25" x14ac:dyDescent="0.2">
      <c r="A22" s="148"/>
      <c r="B22" s="148"/>
      <c r="C22" s="148"/>
      <c r="D22" s="148"/>
      <c r="G22" s="96" t="s">
        <v>87</v>
      </c>
    </row>
    <row r="23" spans="1:7" ht="38.25" x14ac:dyDescent="0.25">
      <c r="A23" s="141" t="s">
        <v>120</v>
      </c>
      <c r="B23" s="142"/>
      <c r="C23" s="143" t="s">
        <v>121</v>
      </c>
      <c r="D23" s="143" t="s">
        <v>122</v>
      </c>
      <c r="G23" s="96" t="s">
        <v>87</v>
      </c>
    </row>
    <row r="24" spans="1:7" ht="15.75" x14ac:dyDescent="0.25">
      <c r="A24" s="123"/>
      <c r="B24" s="124">
        <v>4</v>
      </c>
      <c r="C24" s="105">
        <v>1</v>
      </c>
      <c r="D24" s="106">
        <v>2</v>
      </c>
      <c r="G24" s="96" t="s">
        <v>87</v>
      </c>
    </row>
    <row r="25" spans="1:7" ht="14.25" x14ac:dyDescent="0.2">
      <c r="A25" s="146" t="s">
        <v>123</v>
      </c>
      <c r="B25" s="108">
        <v>1</v>
      </c>
      <c r="C25" s="144" t="s">
        <v>90</v>
      </c>
      <c r="D25" s="144" t="s">
        <v>90</v>
      </c>
      <c r="G25" s="96" t="s">
        <v>87</v>
      </c>
    </row>
    <row r="26" spans="1:7" ht="14.25" x14ac:dyDescent="0.2">
      <c r="A26" s="146" t="s">
        <v>124</v>
      </c>
      <c r="B26" s="108">
        <v>2</v>
      </c>
      <c r="C26" s="144" t="s">
        <v>90</v>
      </c>
      <c r="D26" s="144" t="s">
        <v>90</v>
      </c>
      <c r="G26" s="96" t="s">
        <v>87</v>
      </c>
    </row>
    <row r="27" spans="1:7" ht="14.25" x14ac:dyDescent="0.2">
      <c r="A27" s="145"/>
      <c r="B27" s="108"/>
      <c r="C27" s="145"/>
      <c r="D27" s="111"/>
      <c r="G27" s="96" t="s">
        <v>87</v>
      </c>
    </row>
    <row r="28" spans="1:7" ht="14.25" x14ac:dyDescent="0.2">
      <c r="A28" s="146" t="s">
        <v>125</v>
      </c>
      <c r="B28" s="108">
        <v>3</v>
      </c>
      <c r="C28" s="144" t="s">
        <v>90</v>
      </c>
      <c r="D28" s="111"/>
      <c r="G28" s="96" t="s">
        <v>87</v>
      </c>
    </row>
    <row r="29" spans="1:7" ht="14.25" x14ac:dyDescent="0.2">
      <c r="A29" s="145"/>
      <c r="B29" s="108"/>
      <c r="C29" s="145"/>
      <c r="D29" s="111"/>
      <c r="G29" s="96" t="s">
        <v>87</v>
      </c>
    </row>
    <row r="30" spans="1:7" ht="14.25" x14ac:dyDescent="0.2">
      <c r="A30" s="129" t="s">
        <v>126</v>
      </c>
      <c r="B30" s="108">
        <v>4</v>
      </c>
      <c r="C30" s="149" t="s">
        <v>90</v>
      </c>
      <c r="D30" s="111"/>
      <c r="G30" s="96" t="s">
        <v>87</v>
      </c>
    </row>
    <row r="31" spans="1:7" ht="14.25" x14ac:dyDescent="0.2">
      <c r="A31" s="129" t="s">
        <v>127</v>
      </c>
      <c r="B31" s="108">
        <v>5</v>
      </c>
      <c r="C31" s="137" t="s">
        <v>90</v>
      </c>
      <c r="D31" s="111"/>
      <c r="G31" s="96" t="s">
        <v>87</v>
      </c>
    </row>
    <row r="32" spans="1:7" ht="14.25" x14ac:dyDescent="0.2">
      <c r="A32" s="146" t="s">
        <v>128</v>
      </c>
      <c r="B32" s="108">
        <v>6</v>
      </c>
      <c r="C32" s="133">
        <f>SUM(C30:C31)</f>
        <v>0</v>
      </c>
      <c r="D32" s="111"/>
      <c r="G32" s="96" t="s">
        <v>87</v>
      </c>
    </row>
    <row r="33" spans="1:7" ht="14.25" x14ac:dyDescent="0.2">
      <c r="A33" s="146" t="s">
        <v>129</v>
      </c>
      <c r="B33" s="108">
        <v>7</v>
      </c>
      <c r="C33" s="137" t="s">
        <v>90</v>
      </c>
      <c r="D33" s="111"/>
      <c r="G33" s="96" t="s">
        <v>87</v>
      </c>
    </row>
    <row r="34" spans="1:7" ht="14.25" x14ac:dyDescent="0.2">
      <c r="A34" s="150" t="s">
        <v>130</v>
      </c>
      <c r="B34" s="119">
        <v>8</v>
      </c>
      <c r="C34" s="139" t="s">
        <v>90</v>
      </c>
      <c r="D34" s="151"/>
      <c r="G34" s="96" t="s">
        <v>87</v>
      </c>
    </row>
    <row r="35" spans="1:7" ht="14.25" x14ac:dyDescent="0.2">
      <c r="G35" s="96" t="s">
        <v>87</v>
      </c>
    </row>
    <row r="36" spans="1:7" ht="38.25" x14ac:dyDescent="0.25">
      <c r="A36" s="141" t="s">
        <v>131</v>
      </c>
      <c r="B36" s="142"/>
      <c r="C36" s="143" t="s">
        <v>121</v>
      </c>
      <c r="D36" s="143" t="s">
        <v>132</v>
      </c>
      <c r="G36" s="96" t="s">
        <v>87</v>
      </c>
    </row>
    <row r="37" spans="1:7" ht="15.75" x14ac:dyDescent="0.25">
      <c r="A37" s="123"/>
      <c r="B37" s="124">
        <v>5</v>
      </c>
      <c r="C37" s="105">
        <v>1</v>
      </c>
      <c r="D37" s="106">
        <v>2</v>
      </c>
      <c r="G37" s="96" t="s">
        <v>87</v>
      </c>
    </row>
    <row r="38" spans="1:7" ht="14.25" x14ac:dyDescent="0.2">
      <c r="A38" s="150" t="s">
        <v>133</v>
      </c>
      <c r="B38" s="108">
        <v>1</v>
      </c>
      <c r="C38" s="144" t="s">
        <v>90</v>
      </c>
      <c r="D38" s="144" t="s">
        <v>90</v>
      </c>
      <c r="G38" s="96" t="s">
        <v>87</v>
      </c>
    </row>
    <row r="39" spans="1:7" ht="14.25" x14ac:dyDescent="0.2">
      <c r="A39" s="129" t="s">
        <v>134</v>
      </c>
      <c r="B39" s="108">
        <v>2</v>
      </c>
      <c r="C39" s="149" t="s">
        <v>90</v>
      </c>
      <c r="D39" s="149" t="s">
        <v>90</v>
      </c>
      <c r="G39" s="96" t="s">
        <v>87</v>
      </c>
    </row>
    <row r="40" spans="1:7" ht="14.25" x14ac:dyDescent="0.2">
      <c r="A40" s="129" t="s">
        <v>135</v>
      </c>
      <c r="B40" s="108">
        <v>3</v>
      </c>
      <c r="C40" s="137" t="s">
        <v>90</v>
      </c>
      <c r="D40" s="137" t="s">
        <v>90</v>
      </c>
      <c r="G40" s="96" t="s">
        <v>87</v>
      </c>
    </row>
    <row r="41" spans="1:7" ht="14.25" x14ac:dyDescent="0.2">
      <c r="A41" s="129" t="s">
        <v>136</v>
      </c>
      <c r="B41" s="108">
        <v>4</v>
      </c>
      <c r="C41" s="137" t="s">
        <v>90</v>
      </c>
      <c r="D41" s="137" t="s">
        <v>90</v>
      </c>
      <c r="G41" s="96" t="s">
        <v>87</v>
      </c>
    </row>
    <row r="42" spans="1:7" ht="14.25" x14ac:dyDescent="0.2">
      <c r="A42" s="146" t="s">
        <v>137</v>
      </c>
      <c r="B42" s="108">
        <v>5</v>
      </c>
      <c r="C42" s="152" t="str">
        <f>IF(SUM(C39:C41),IFERROR(SUMIF(C39:C41,"&gt;0")/COUNTIF(C39:C41,"&gt;0"),0),"-")</f>
        <v>-</v>
      </c>
      <c r="D42" s="152" t="str">
        <f>IF(SUM(D39:D41),IFERROR(SUMIF(D39:D41,"&gt;0")/COUNTIF(D39:D41,"&gt;0"),0),"-")</f>
        <v>-</v>
      </c>
      <c r="G42" s="96" t="s">
        <v>87</v>
      </c>
    </row>
    <row r="43" spans="1:7" ht="14.25" x14ac:dyDescent="0.2">
      <c r="A43" s="150" t="s">
        <v>138</v>
      </c>
      <c r="B43" s="108">
        <v>6</v>
      </c>
      <c r="C43" s="153">
        <f>12%*SUM(C42)</f>
        <v>0</v>
      </c>
      <c r="D43" s="153">
        <f>12%*SUM(D42)</f>
        <v>0</v>
      </c>
      <c r="G43" s="96" t="s">
        <v>87</v>
      </c>
    </row>
    <row r="44" spans="1:7" ht="14.25" x14ac:dyDescent="0.2">
      <c r="A44" s="146" t="s">
        <v>139</v>
      </c>
      <c r="B44" s="108">
        <v>7</v>
      </c>
      <c r="C44" s="145"/>
      <c r="D44" s="144" t="s">
        <v>90</v>
      </c>
      <c r="G44" s="96" t="s">
        <v>87</v>
      </c>
    </row>
    <row r="45" spans="1:7" ht="14.25" x14ac:dyDescent="0.2">
      <c r="A45" s="147" t="s">
        <v>140</v>
      </c>
      <c r="B45" s="119">
        <v>8</v>
      </c>
      <c r="C45" s="144" t="s">
        <v>90</v>
      </c>
      <c r="D45" s="151"/>
      <c r="G45" s="96" t="s">
        <v>87</v>
      </c>
    </row>
    <row r="46" spans="1:7" ht="14.25" x14ac:dyDescent="0.2">
      <c r="G46" s="96" t="s">
        <v>87</v>
      </c>
    </row>
    <row r="47" spans="1:7" ht="15.75" x14ac:dyDescent="0.25">
      <c r="A47" s="141" t="s">
        <v>141</v>
      </c>
      <c r="B47" s="124">
        <v>6</v>
      </c>
      <c r="C47" s="106">
        <v>1</v>
      </c>
      <c r="G47" s="96" t="s">
        <v>87</v>
      </c>
    </row>
    <row r="48" spans="1:7" ht="14.25" x14ac:dyDescent="0.2">
      <c r="A48" s="150" t="s">
        <v>142</v>
      </c>
      <c r="B48" s="108">
        <v>1</v>
      </c>
      <c r="C48" s="144" t="s">
        <v>90</v>
      </c>
      <c r="G48" s="96" t="s">
        <v>87</v>
      </c>
    </row>
    <row r="49" spans="1:7" ht="14.25" x14ac:dyDescent="0.2">
      <c r="A49" s="150" t="s">
        <v>143</v>
      </c>
      <c r="B49" s="119">
        <v>2</v>
      </c>
      <c r="C49" s="144" t="s">
        <v>90</v>
      </c>
      <c r="G49" s="96" t="s">
        <v>87</v>
      </c>
    </row>
    <row r="50" spans="1:7" ht="14.25" x14ac:dyDescent="0.2">
      <c r="G50" s="96" t="s">
        <v>87</v>
      </c>
    </row>
    <row r="51" spans="1:7" ht="14.25" x14ac:dyDescent="0.2">
      <c r="A51" s="96" t="s">
        <v>87</v>
      </c>
      <c r="B51" s="96" t="s">
        <v>87</v>
      </c>
      <c r="C51" s="96" t="s">
        <v>87</v>
      </c>
      <c r="D51" s="96" t="s">
        <v>87</v>
      </c>
      <c r="E51" s="96" t="s">
        <v>87</v>
      </c>
      <c r="F51" s="96" t="s">
        <v>87</v>
      </c>
      <c r="G51" s="96" t="s">
        <v>87</v>
      </c>
    </row>
  </sheetData>
  <printOptions horizontalCentered="1"/>
  <pageMargins left="0.23622047244094491" right="0.23622047244094491" top="0.35433070866141736" bottom="0.55118110236220474" header="0.31496062992125984" footer="0.31496062992125984"/>
  <pageSetup paperSize="9" fitToWidth="2" fitToHeight="3" orientation="landscape" r:id="rId1"/>
  <headerFooter>
    <oddFooter>&amp;A&amp;RPage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pageSetUpPr fitToPage="1"/>
  </sheetPr>
  <dimension ref="A1:K133"/>
  <sheetViews>
    <sheetView topLeftCell="A8" zoomScaleNormal="100" workbookViewId="0">
      <selection activeCell="A34" sqref="A34"/>
    </sheetView>
  </sheetViews>
  <sheetFormatPr defaultRowHeight="12.75" x14ac:dyDescent="0.2"/>
  <cols>
    <col min="1" max="1" width="54" customWidth="1"/>
    <col min="2" max="2" width="3.42578125" customWidth="1"/>
    <col min="3" max="3" width="10.5703125" customWidth="1"/>
    <col min="8" max="8" width="11.85546875" customWidth="1"/>
    <col min="9" max="9" width="8.5703125" customWidth="1"/>
    <col min="10" max="10" width="2.7109375" customWidth="1"/>
    <col min="11" max="11" width="2" customWidth="1"/>
  </cols>
  <sheetData>
    <row r="1" spans="1:11" ht="14.25" x14ac:dyDescent="0.2">
      <c r="A1" s="93" t="str">
        <f>FT15.Participant!$A$1</f>
        <v>&lt;IAIG's Name&gt;</v>
      </c>
      <c r="B1" s="94"/>
      <c r="C1" s="94"/>
      <c r="D1" s="94"/>
      <c r="E1" s="94"/>
      <c r="F1" s="94"/>
      <c r="G1" s="94"/>
      <c r="H1" s="94"/>
      <c r="I1" s="95" t="str">
        <f ca="1">HYPERLINK("#"&amp;CELL("address",FT15.IndexSheet),Version)</f>
        <v>2015 IAIS Field Testing Template</v>
      </c>
      <c r="K1" s="96" t="s">
        <v>87</v>
      </c>
    </row>
    <row r="2" spans="1:11" ht="15" x14ac:dyDescent="0.25">
      <c r="A2" s="97" t="str">
        <f>FT15.Participant!$A$2</f>
        <v>&lt;Currency&gt; - (&lt;Unit&gt;)</v>
      </c>
      <c r="B2" s="98" t="s">
        <v>24</v>
      </c>
      <c r="C2" s="99"/>
      <c r="D2" s="99"/>
      <c r="E2" s="99"/>
      <c r="F2" s="99"/>
      <c r="G2" s="99"/>
      <c r="H2" s="99"/>
      <c r="I2" s="100" t="str">
        <f>FT15.Participant!$E$2</f>
        <v xml:space="preserve">&lt;Reporting Date&gt; - </v>
      </c>
      <c r="K2" s="96" t="s">
        <v>87</v>
      </c>
    </row>
    <row r="3" spans="1:11" ht="14.25" x14ac:dyDescent="0.2">
      <c r="K3" s="96" t="s">
        <v>87</v>
      </c>
    </row>
    <row r="4" spans="1:11" ht="24.75" x14ac:dyDescent="0.25">
      <c r="A4" s="154" t="s">
        <v>144</v>
      </c>
      <c r="B4" s="155"/>
      <c r="C4" s="156"/>
      <c r="D4" s="157"/>
      <c r="E4" s="158" t="s">
        <v>145</v>
      </c>
      <c r="H4" s="159" t="s">
        <v>146</v>
      </c>
      <c r="K4" s="96" t="s">
        <v>87</v>
      </c>
    </row>
    <row r="5" spans="1:11" ht="14.25" x14ac:dyDescent="0.2">
      <c r="A5" s="160"/>
      <c r="B5" s="124">
        <v>7</v>
      </c>
      <c r="C5" s="105"/>
      <c r="D5" s="105"/>
      <c r="E5" s="106">
        <v>1</v>
      </c>
      <c r="H5" s="161"/>
      <c r="K5" s="96" t="s">
        <v>87</v>
      </c>
    </row>
    <row r="6" spans="1:11" ht="14.25" x14ac:dyDescent="0.2">
      <c r="A6" s="150" t="s">
        <v>147</v>
      </c>
      <c r="B6" s="162">
        <v>1</v>
      </c>
      <c r="C6" s="163"/>
      <c r="D6" s="164"/>
      <c r="E6" s="165" t="str">
        <f>IFERROR((E11+MIN(SUM(E22),H6*SUM(E36)))/E36,"-")</f>
        <v>-</v>
      </c>
      <c r="H6" s="166">
        <v>0.5</v>
      </c>
      <c r="K6" s="96" t="s">
        <v>87</v>
      </c>
    </row>
    <row r="7" spans="1:11" ht="14.25" x14ac:dyDescent="0.2">
      <c r="K7" s="96" t="s">
        <v>87</v>
      </c>
    </row>
    <row r="8" spans="1:11" ht="15.75" x14ac:dyDescent="0.25">
      <c r="A8" s="154" t="s">
        <v>148</v>
      </c>
      <c r="B8" s="155"/>
      <c r="C8" s="156"/>
      <c r="D8" s="157"/>
      <c r="E8" s="158"/>
      <c r="K8" s="96" t="s">
        <v>87</v>
      </c>
    </row>
    <row r="9" spans="1:11" ht="14.25" x14ac:dyDescent="0.2">
      <c r="A9" s="160"/>
      <c r="B9" s="124">
        <v>8</v>
      </c>
      <c r="C9" s="167">
        <v>1</v>
      </c>
      <c r="D9" s="167"/>
      <c r="E9" s="167">
        <v>2</v>
      </c>
      <c r="K9" s="96" t="s">
        <v>87</v>
      </c>
    </row>
    <row r="10" spans="1:11" ht="14.25" x14ac:dyDescent="0.2">
      <c r="A10" s="168" t="s">
        <v>149</v>
      </c>
      <c r="B10" s="169">
        <v>1</v>
      </c>
      <c r="C10" s="170" t="s">
        <v>150</v>
      </c>
      <c r="D10" s="171" t="s">
        <v>151</v>
      </c>
      <c r="E10" s="172">
        <f>E11+E22</f>
        <v>0</v>
      </c>
      <c r="K10" s="96" t="s">
        <v>87</v>
      </c>
    </row>
    <row r="11" spans="1:11" ht="14.25" x14ac:dyDescent="0.2">
      <c r="A11" s="173" t="s">
        <v>152</v>
      </c>
      <c r="B11" s="169">
        <v>2</v>
      </c>
      <c r="C11" s="174"/>
      <c r="D11" s="175" t="s">
        <v>153</v>
      </c>
      <c r="E11" s="176">
        <f>IF(E13-C12&lt;0,0,E13-C12)</f>
        <v>0</v>
      </c>
      <c r="K11" s="96" t="s">
        <v>87</v>
      </c>
    </row>
    <row r="12" spans="1:11" ht="14.25" x14ac:dyDescent="0.2">
      <c r="A12" s="177" t="s">
        <v>154</v>
      </c>
      <c r="B12" s="169">
        <v>3</v>
      </c>
      <c r="C12" s="178">
        <f>'BCR.Capital resources'!C34</f>
        <v>0</v>
      </c>
      <c r="D12" s="179"/>
      <c r="E12" s="180"/>
      <c r="K12" s="96" t="s">
        <v>87</v>
      </c>
    </row>
    <row r="13" spans="1:11" ht="14.25" x14ac:dyDescent="0.2">
      <c r="A13" s="181" t="s">
        <v>155</v>
      </c>
      <c r="B13" s="169">
        <v>4</v>
      </c>
      <c r="C13" s="182"/>
      <c r="D13" s="183"/>
      <c r="E13" s="184">
        <f>SUM(C14:C15)</f>
        <v>0</v>
      </c>
      <c r="K13" s="96" t="s">
        <v>87</v>
      </c>
    </row>
    <row r="14" spans="1:11" ht="14.25" x14ac:dyDescent="0.2">
      <c r="A14" s="185" t="s">
        <v>156</v>
      </c>
      <c r="B14" s="169">
        <v>5</v>
      </c>
      <c r="C14" s="186">
        <f>'FT15.Financial Instruments'!G8</f>
        <v>0</v>
      </c>
      <c r="D14" s="179"/>
      <c r="E14" s="180"/>
      <c r="K14" s="96" t="s">
        <v>87</v>
      </c>
    </row>
    <row r="15" spans="1:11" ht="14.25" x14ac:dyDescent="0.2">
      <c r="A15" s="185" t="s">
        <v>157</v>
      </c>
      <c r="B15" s="169">
        <v>6</v>
      </c>
      <c r="C15" s="187">
        <f>SUM(C16:C21)</f>
        <v>0</v>
      </c>
      <c r="D15" s="179"/>
      <c r="E15" s="180"/>
      <c r="K15" s="96" t="s">
        <v>87</v>
      </c>
    </row>
    <row r="16" spans="1:11" ht="14.25" x14ac:dyDescent="0.2">
      <c r="A16" s="188" t="s">
        <v>158</v>
      </c>
      <c r="B16" s="169">
        <v>7</v>
      </c>
      <c r="C16" s="189">
        <f>'BCR.Capital resources'!$C$14+'BCR.Capital resources'!C20</f>
        <v>0</v>
      </c>
      <c r="D16" s="179"/>
      <c r="E16" s="180"/>
      <c r="G16" s="190"/>
      <c r="K16" s="96" t="s">
        <v>87</v>
      </c>
    </row>
    <row r="17" spans="1:11" ht="14.25" x14ac:dyDescent="0.2">
      <c r="A17" s="188" t="s">
        <v>159</v>
      </c>
      <c r="B17" s="169">
        <v>8</v>
      </c>
      <c r="C17" s="191">
        <f>'BCR.Capital resources'!$C$15</f>
        <v>0</v>
      </c>
      <c r="D17" s="179"/>
      <c r="E17" s="180"/>
      <c r="K17" s="96" t="s">
        <v>87</v>
      </c>
    </row>
    <row r="18" spans="1:11" ht="14.25" x14ac:dyDescent="0.2">
      <c r="A18" s="188" t="s">
        <v>160</v>
      </c>
      <c r="B18" s="169">
        <v>9</v>
      </c>
      <c r="C18" s="189">
        <f>'BCR.Capital resources'!$C$16</f>
        <v>0</v>
      </c>
      <c r="D18" s="179"/>
      <c r="E18" s="180"/>
      <c r="K18" s="96" t="s">
        <v>87</v>
      </c>
    </row>
    <row r="19" spans="1:11" ht="14.25" x14ac:dyDescent="0.2">
      <c r="A19" s="188" t="s">
        <v>161</v>
      </c>
      <c r="B19" s="169">
        <v>10</v>
      </c>
      <c r="C19" s="189">
        <f>'BCR.Capital resources'!$C$17</f>
        <v>0</v>
      </c>
      <c r="D19" s="179"/>
      <c r="E19" s="180"/>
      <c r="K19" s="96" t="s">
        <v>87</v>
      </c>
    </row>
    <row r="20" spans="1:11" ht="14.25" x14ac:dyDescent="0.2">
      <c r="A20" s="188" t="s">
        <v>162</v>
      </c>
      <c r="B20" s="169">
        <v>11</v>
      </c>
      <c r="C20" s="192">
        <f>'BCR.Capital resources'!$C$18</f>
        <v>0</v>
      </c>
      <c r="D20" s="179"/>
      <c r="E20" s="180"/>
      <c r="K20" s="96" t="s">
        <v>87</v>
      </c>
    </row>
    <row r="21" spans="1:11" ht="14.25" x14ac:dyDescent="0.2">
      <c r="A21" s="188" t="s">
        <v>163</v>
      </c>
      <c r="B21" s="169">
        <v>12</v>
      </c>
      <c r="C21" s="193">
        <f>'BCR.Capital resources'!$C$19</f>
        <v>0</v>
      </c>
      <c r="D21" s="179"/>
      <c r="E21" s="180"/>
      <c r="K21" s="96" t="s">
        <v>87</v>
      </c>
    </row>
    <row r="22" spans="1:11" ht="14.25" x14ac:dyDescent="0.2">
      <c r="A22" s="173" t="s">
        <v>164</v>
      </c>
      <c r="B22" s="169">
        <v>13</v>
      </c>
      <c r="C22" s="182"/>
      <c r="D22" s="194" t="s">
        <v>165</v>
      </c>
      <c r="E22" s="195">
        <f>IF(E24-C23&lt;0,0,E24-C23)</f>
        <v>0</v>
      </c>
      <c r="K22" s="96" t="s">
        <v>87</v>
      </c>
    </row>
    <row r="23" spans="1:11" ht="14.25" x14ac:dyDescent="0.2">
      <c r="A23" s="177" t="s">
        <v>166</v>
      </c>
      <c r="B23" s="169">
        <v>14</v>
      </c>
      <c r="C23" s="196">
        <f>'BCR.Capital resources'!C45</f>
        <v>0</v>
      </c>
      <c r="D23" s="179"/>
      <c r="E23" s="180"/>
      <c r="K23" s="96" t="s">
        <v>87</v>
      </c>
    </row>
    <row r="24" spans="1:11" ht="14.25" x14ac:dyDescent="0.2">
      <c r="A24" s="181" t="s">
        <v>167</v>
      </c>
      <c r="B24" s="169">
        <v>15</v>
      </c>
      <c r="C24" s="182"/>
      <c r="D24" s="183"/>
      <c r="E24" s="184">
        <f>SUM(C25,C26,C31)</f>
        <v>0</v>
      </c>
      <c r="K24" s="96" t="s">
        <v>87</v>
      </c>
    </row>
    <row r="25" spans="1:11" ht="14.25" x14ac:dyDescent="0.2">
      <c r="A25" s="185" t="s">
        <v>156</v>
      </c>
      <c r="B25" s="169">
        <v>16</v>
      </c>
      <c r="C25" s="196">
        <f>'FT15.Financial Instruments'!K8</f>
        <v>0</v>
      </c>
      <c r="D25" s="179"/>
      <c r="E25" s="180"/>
      <c r="K25" s="96" t="s">
        <v>87</v>
      </c>
    </row>
    <row r="26" spans="1:11" ht="14.25" x14ac:dyDescent="0.2">
      <c r="A26" s="185" t="s">
        <v>157</v>
      </c>
      <c r="B26" s="169">
        <v>17</v>
      </c>
      <c r="C26" s="197">
        <f>SUM(C27:C30)</f>
        <v>0</v>
      </c>
      <c r="D26" s="179"/>
      <c r="E26" s="180"/>
      <c r="K26" s="96" t="s">
        <v>87</v>
      </c>
    </row>
    <row r="27" spans="1:11" ht="14.25" x14ac:dyDescent="0.2">
      <c r="A27" s="198" t="s">
        <v>168</v>
      </c>
      <c r="B27" s="169">
        <v>18</v>
      </c>
      <c r="C27" s="199">
        <f>'BCR.Capital resources'!$C$22</f>
        <v>0</v>
      </c>
      <c r="D27" s="200"/>
      <c r="E27" s="201"/>
      <c r="K27" s="96" t="s">
        <v>87</v>
      </c>
    </row>
    <row r="28" spans="1:11" ht="14.25" x14ac:dyDescent="0.2">
      <c r="A28" s="198" t="s">
        <v>169</v>
      </c>
      <c r="B28" s="169">
        <v>19</v>
      </c>
      <c r="C28" s="199">
        <f>'BCR.Capital resources'!$C$23</f>
        <v>0</v>
      </c>
      <c r="D28" s="200"/>
      <c r="E28" s="201"/>
      <c r="K28" s="96" t="s">
        <v>87</v>
      </c>
    </row>
    <row r="29" spans="1:11" ht="14.25" x14ac:dyDescent="0.2">
      <c r="A29" s="198" t="s">
        <v>170</v>
      </c>
      <c r="B29" s="169">
        <v>20</v>
      </c>
      <c r="C29" s="199">
        <f>'BCR.Capital resources'!$C$24</f>
        <v>0</v>
      </c>
      <c r="D29" s="200"/>
      <c r="E29" s="201"/>
      <c r="K29" s="96" t="s">
        <v>87</v>
      </c>
    </row>
    <row r="30" spans="1:11" ht="15" thickBot="1" x14ac:dyDescent="0.25">
      <c r="A30" s="198" t="s">
        <v>171</v>
      </c>
      <c r="B30" s="169">
        <v>21</v>
      </c>
      <c r="C30" s="199">
        <f>'BCR.Capital resources'!$C$25</f>
        <v>0</v>
      </c>
      <c r="D30" s="200"/>
      <c r="E30" s="201"/>
      <c r="K30" s="96" t="s">
        <v>87</v>
      </c>
    </row>
    <row r="31" spans="1:11" ht="15" thickBot="1" x14ac:dyDescent="0.25">
      <c r="A31" s="202" t="s">
        <v>172</v>
      </c>
      <c r="B31" s="162">
        <v>22</v>
      </c>
      <c r="C31" s="203">
        <f>MIN(SUM('BCR.Capital resources'!C30),H31*E36)</f>
        <v>0</v>
      </c>
      <c r="D31" s="204"/>
      <c r="E31" s="205"/>
      <c r="H31" s="206">
        <v>0.1</v>
      </c>
      <c r="K31" s="96" t="s">
        <v>87</v>
      </c>
    </row>
    <row r="32" spans="1:11" ht="15" thickBot="1" x14ac:dyDescent="0.25">
      <c r="K32" s="96" t="s">
        <v>87</v>
      </c>
    </row>
    <row r="33" spans="1:11" ht="15" thickBot="1" x14ac:dyDescent="0.25">
      <c r="A33" s="93"/>
      <c r="B33" s="207"/>
      <c r="C33" s="1408" t="s">
        <v>173</v>
      </c>
      <c r="D33" s="208" t="s">
        <v>173</v>
      </c>
      <c r="E33" s="1410" t="s">
        <v>174</v>
      </c>
      <c r="G33" s="209" t="s">
        <v>175</v>
      </c>
      <c r="H33" s="210"/>
      <c r="K33" s="96" t="s">
        <v>87</v>
      </c>
    </row>
    <row r="34" spans="1:11" ht="21" customHeight="1" thickBot="1" x14ac:dyDescent="0.3">
      <c r="A34" s="211" t="s">
        <v>176</v>
      </c>
      <c r="B34" s="125"/>
      <c r="C34" s="1409"/>
      <c r="D34" s="212" t="s">
        <v>177</v>
      </c>
      <c r="E34" s="1411"/>
      <c r="G34" s="213" t="s">
        <v>178</v>
      </c>
      <c r="H34" s="213" t="s">
        <v>179</v>
      </c>
      <c r="K34" s="96" t="s">
        <v>87</v>
      </c>
    </row>
    <row r="35" spans="1:11" ht="14.25" x14ac:dyDescent="0.2">
      <c r="A35" s="150"/>
      <c r="B35" s="124">
        <v>9</v>
      </c>
      <c r="C35" s="105">
        <v>1</v>
      </c>
      <c r="D35" s="167">
        <v>2</v>
      </c>
      <c r="E35" s="214">
        <v>3</v>
      </c>
      <c r="G35" s="215"/>
      <c r="H35" s="216"/>
      <c r="K35" s="96" t="s">
        <v>87</v>
      </c>
    </row>
    <row r="36" spans="1:11" ht="15.75" thickBot="1" x14ac:dyDescent="0.3">
      <c r="A36" s="217" t="s">
        <v>180</v>
      </c>
      <c r="B36" s="169">
        <v>1</v>
      </c>
      <c r="C36" s="218"/>
      <c r="D36" s="218"/>
      <c r="E36" s="219">
        <f>SUM(E59,E37)</f>
        <v>0</v>
      </c>
      <c r="G36" s="220"/>
      <c r="H36" s="221"/>
      <c r="K36" s="96" t="s">
        <v>87</v>
      </c>
    </row>
    <row r="37" spans="1:11" ht="15" thickBot="1" x14ac:dyDescent="0.25">
      <c r="A37" s="222" t="s">
        <v>181</v>
      </c>
      <c r="B37" s="223">
        <v>2</v>
      </c>
      <c r="C37" s="224"/>
      <c r="D37" s="225"/>
      <c r="E37" s="226">
        <f>H37*SUM(E53,E38,E43,E48)</f>
        <v>0</v>
      </c>
      <c r="G37" s="227" t="s">
        <v>182</v>
      </c>
      <c r="H37" s="228">
        <v>1</v>
      </c>
      <c r="K37" s="96" t="s">
        <v>87</v>
      </c>
    </row>
    <row r="38" spans="1:11" ht="14.25" x14ac:dyDescent="0.2">
      <c r="A38" s="229" t="s">
        <v>183</v>
      </c>
      <c r="B38" s="108">
        <v>3</v>
      </c>
      <c r="C38" s="145"/>
      <c r="D38" s="230"/>
      <c r="E38" s="226">
        <f>SUM(D39:D42)</f>
        <v>0</v>
      </c>
      <c r="G38" s="231"/>
      <c r="H38" s="232"/>
      <c r="K38" s="96" t="s">
        <v>87</v>
      </c>
    </row>
    <row r="39" spans="1:11" ht="18" x14ac:dyDescent="0.35">
      <c r="A39" s="233" t="s">
        <v>184</v>
      </c>
      <c r="B39" s="234">
        <v>4</v>
      </c>
      <c r="C39" s="235">
        <f>MAX(SUM(G100)-SUM(C100),0)</f>
        <v>0</v>
      </c>
      <c r="D39" s="236">
        <f>SUM(C39)*SUM(H39)</f>
        <v>0</v>
      </c>
      <c r="E39" s="111"/>
      <c r="G39" s="237" t="s">
        <v>185</v>
      </c>
      <c r="H39" s="238">
        <v>5.9999999999999995E-4</v>
      </c>
      <c r="K39" s="96" t="s">
        <v>87</v>
      </c>
    </row>
    <row r="40" spans="1:11" ht="18" x14ac:dyDescent="0.2">
      <c r="A40" s="233" t="s">
        <v>186</v>
      </c>
      <c r="B40" s="234">
        <v>5</v>
      </c>
      <c r="C40" s="239">
        <f>MAX(SUM(C105),0)</f>
        <v>0</v>
      </c>
      <c r="D40" s="240">
        <f>SUM(C40)*SUM(H40)</f>
        <v>0</v>
      </c>
      <c r="E40" s="111"/>
      <c r="G40" s="241" t="s">
        <v>187</v>
      </c>
      <c r="H40" s="242">
        <v>6.0000000000000001E-3</v>
      </c>
      <c r="K40" s="96" t="s">
        <v>87</v>
      </c>
    </row>
    <row r="41" spans="1:11" ht="18" x14ac:dyDescent="0.2">
      <c r="A41" s="233" t="s">
        <v>188</v>
      </c>
      <c r="B41" s="234">
        <v>6</v>
      </c>
      <c r="C41" s="239">
        <f>MAX(SUM(C104),0)</f>
        <v>0</v>
      </c>
      <c r="D41" s="240">
        <f>SUM(C41)*SUM(H41)</f>
        <v>0</v>
      </c>
      <c r="E41" s="111"/>
      <c r="G41" s="241" t="s">
        <v>189</v>
      </c>
      <c r="H41" s="242">
        <v>1.2E-2</v>
      </c>
      <c r="K41" s="96" t="s">
        <v>87</v>
      </c>
    </row>
    <row r="42" spans="1:11" ht="18.75" thickBot="1" x14ac:dyDescent="0.25">
      <c r="A42" s="243" t="s">
        <v>190</v>
      </c>
      <c r="B42" s="234">
        <v>7</v>
      </c>
      <c r="C42" s="244">
        <f>MAX(SUM(C101),0)+MAX(SUM(C102),0)+MAX(SUM(C103),0)+MAX(SUM(C106),0)</f>
        <v>0</v>
      </c>
      <c r="D42" s="245">
        <f>SUM(C42)*SUM(H42)</f>
        <v>0</v>
      </c>
      <c r="E42" s="111"/>
      <c r="G42" s="241" t="s">
        <v>191</v>
      </c>
      <c r="H42" s="246">
        <v>6.0000000000000001E-3</v>
      </c>
      <c r="K42" s="96" t="s">
        <v>87</v>
      </c>
    </row>
    <row r="43" spans="1:11" ht="14.25" x14ac:dyDescent="0.2">
      <c r="A43" s="229" t="s">
        <v>192</v>
      </c>
      <c r="B43" s="234">
        <v>8</v>
      </c>
      <c r="C43" s="145"/>
      <c r="D43" s="230"/>
      <c r="E43" s="226">
        <f>SUM(D44:D47)</f>
        <v>0</v>
      </c>
      <c r="G43" s="231"/>
      <c r="H43" s="247"/>
      <c r="K43" s="96" t="s">
        <v>87</v>
      </c>
    </row>
    <row r="44" spans="1:11" ht="18" x14ac:dyDescent="0.2">
      <c r="A44" s="233" t="s">
        <v>193</v>
      </c>
      <c r="B44" s="234">
        <v>9</v>
      </c>
      <c r="C44" s="235">
        <f>MAX(SUM(E117),0)+10*(MAX(SUM(E118),0)+MAX(SUM(E119),0))</f>
        <v>0</v>
      </c>
      <c r="D44" s="236">
        <f>SUM(C44)*SUM(H44)</f>
        <v>0</v>
      </c>
      <c r="E44" s="111"/>
      <c r="G44" s="248" t="s">
        <v>194</v>
      </c>
      <c r="H44" s="238">
        <v>6.3E-2</v>
      </c>
      <c r="K44" s="96" t="s">
        <v>87</v>
      </c>
    </row>
    <row r="45" spans="1:11" ht="18" x14ac:dyDescent="0.2">
      <c r="A45" s="233" t="s">
        <v>195</v>
      </c>
      <c r="B45" s="234">
        <v>10</v>
      </c>
      <c r="C45" s="239">
        <f>MAX(SUM(C116),0)</f>
        <v>0</v>
      </c>
      <c r="D45" s="240">
        <f>SUM(C45)*SUM(H45)</f>
        <v>0</v>
      </c>
      <c r="E45" s="111"/>
      <c r="G45" s="241" t="s">
        <v>196</v>
      </c>
      <c r="H45" s="242">
        <v>6.3E-2</v>
      </c>
      <c r="K45" s="96" t="s">
        <v>87</v>
      </c>
    </row>
    <row r="46" spans="1:11" ht="18" x14ac:dyDescent="0.2">
      <c r="A46" s="233" t="s">
        <v>197</v>
      </c>
      <c r="B46" s="234">
        <v>11</v>
      </c>
      <c r="C46" s="239">
        <f>MAX(SUM(C121),0)+MAX(SUM(C122),0)</f>
        <v>0</v>
      </c>
      <c r="D46" s="240">
        <f>SUM(C46)*SUM(H46)</f>
        <v>0</v>
      </c>
      <c r="E46" s="111"/>
      <c r="G46" s="241" t="s">
        <v>198</v>
      </c>
      <c r="H46" s="242">
        <v>0.113</v>
      </c>
      <c r="K46" s="96" t="s">
        <v>87</v>
      </c>
    </row>
    <row r="47" spans="1:11" ht="18.75" thickBot="1" x14ac:dyDescent="0.25">
      <c r="A47" s="243" t="s">
        <v>199</v>
      </c>
      <c r="B47" s="234">
        <v>12</v>
      </c>
      <c r="C47" s="244">
        <f>MAX(SUM(C120),0)+MAX(SUM(C123),0)+MAX(SUM(C124),0)+MAX(SUM(C125),0)+MAX(SUM(C126),0)+MAX(SUM(C127),0)</f>
        <v>0</v>
      </c>
      <c r="D47" s="245">
        <f>SUM(C47)*SUM(H47)</f>
        <v>0</v>
      </c>
      <c r="E47" s="111"/>
      <c r="G47" s="241" t="s">
        <v>200</v>
      </c>
      <c r="H47" s="246">
        <v>7.5000000000000011E-2</v>
      </c>
      <c r="K47" s="96" t="s">
        <v>87</v>
      </c>
    </row>
    <row r="48" spans="1:11" ht="14.25" x14ac:dyDescent="0.2">
      <c r="A48" s="229" t="s">
        <v>201</v>
      </c>
      <c r="B48" s="234">
        <v>13</v>
      </c>
      <c r="C48" s="145"/>
      <c r="D48" s="230"/>
      <c r="E48" s="226">
        <f>SUM(D49:D52)</f>
        <v>0</v>
      </c>
      <c r="G48" s="231"/>
      <c r="H48" s="247"/>
      <c r="K48" s="96" t="s">
        <v>87</v>
      </c>
    </row>
    <row r="49" spans="1:11" ht="18" x14ac:dyDescent="0.2">
      <c r="A49" s="233" t="s">
        <v>202</v>
      </c>
      <c r="B49" s="234">
        <v>14</v>
      </c>
      <c r="C49" s="235">
        <f>MAX(SUM(I110),0)</f>
        <v>0</v>
      </c>
      <c r="D49" s="236">
        <f>SUM(C49)*SUM(H49)</f>
        <v>0</v>
      </c>
      <c r="E49" s="111"/>
      <c r="G49" s="248" t="s">
        <v>203</v>
      </c>
      <c r="H49" s="238">
        <v>1.2E-2</v>
      </c>
      <c r="K49" s="96" t="s">
        <v>87</v>
      </c>
    </row>
    <row r="50" spans="1:11" ht="18" x14ac:dyDescent="0.2">
      <c r="A50" s="233" t="s">
        <v>204</v>
      </c>
      <c r="B50" s="234">
        <v>15</v>
      </c>
      <c r="C50" s="239">
        <f>MAX(SUM(H129),0)</f>
        <v>0</v>
      </c>
      <c r="D50" s="240">
        <f>SUM(C50)*SUM(H50)</f>
        <v>0</v>
      </c>
      <c r="E50" s="111"/>
      <c r="G50" s="241" t="s">
        <v>205</v>
      </c>
      <c r="H50" s="242">
        <v>0.04</v>
      </c>
      <c r="K50" s="96" t="s">
        <v>87</v>
      </c>
    </row>
    <row r="51" spans="1:11" ht="18" x14ac:dyDescent="0.2">
      <c r="A51" s="233" t="s">
        <v>206</v>
      </c>
      <c r="B51" s="234">
        <v>16</v>
      </c>
      <c r="C51" s="239">
        <f>MAX(SUM(C111),0)+MAX(SUM(I112),0)</f>
        <v>0</v>
      </c>
      <c r="D51" s="240">
        <f>SUM(C51)*SUM(H51)</f>
        <v>0</v>
      </c>
      <c r="E51" s="111"/>
      <c r="G51" s="241" t="s">
        <v>207</v>
      </c>
      <c r="H51" s="242">
        <v>1.0999999999999999E-2</v>
      </c>
      <c r="K51" s="96" t="s">
        <v>87</v>
      </c>
    </row>
    <row r="52" spans="1:11" ht="18.75" thickBot="1" x14ac:dyDescent="0.25">
      <c r="A52" s="243" t="s">
        <v>208</v>
      </c>
      <c r="B52" s="234">
        <v>17</v>
      </c>
      <c r="C52" s="244">
        <f>MAX(SUM(C113),0)+MAX(SUM(C130),0)+MAX(SUM(C131),0)</f>
        <v>0</v>
      </c>
      <c r="D52" s="245">
        <f>SUM(C52)*SUM(H52)</f>
        <v>0</v>
      </c>
      <c r="E52" s="111"/>
      <c r="G52" s="241" t="s">
        <v>209</v>
      </c>
      <c r="H52" s="246">
        <v>1.2999999999999999E-2</v>
      </c>
      <c r="K52" s="96" t="s">
        <v>87</v>
      </c>
    </row>
    <row r="53" spans="1:11" ht="14.25" x14ac:dyDescent="0.2">
      <c r="A53" s="229" t="s">
        <v>210</v>
      </c>
      <c r="B53" s="234">
        <v>18</v>
      </c>
      <c r="C53" s="145"/>
      <c r="D53" s="230"/>
      <c r="E53" s="226">
        <f>SUM(D56:D58)</f>
        <v>0</v>
      </c>
      <c r="G53" s="231"/>
      <c r="H53" s="247"/>
      <c r="K53" s="96" t="s">
        <v>87</v>
      </c>
    </row>
    <row r="54" spans="1:11" ht="14.25" x14ac:dyDescent="0.2">
      <c r="A54" s="233" t="s">
        <v>211</v>
      </c>
      <c r="B54" s="234">
        <v>19</v>
      </c>
      <c r="C54" s="235">
        <f>SUM(C55,C58)</f>
        <v>0</v>
      </c>
      <c r="D54" s="230"/>
      <c r="E54" s="111"/>
      <c r="G54" s="249"/>
      <c r="H54" s="247"/>
      <c r="K54" s="96" t="s">
        <v>87</v>
      </c>
    </row>
    <row r="55" spans="1:11" ht="14.25" x14ac:dyDescent="0.2">
      <c r="A55" s="250" t="s">
        <v>212</v>
      </c>
      <c r="B55" s="234">
        <v>20</v>
      </c>
      <c r="C55" s="239">
        <f>MAX(SUM(C68:C83,C91:C92),0)</f>
        <v>0</v>
      </c>
      <c r="D55" s="230"/>
      <c r="E55" s="111"/>
      <c r="G55" s="249"/>
      <c r="H55" s="247"/>
      <c r="K55" s="96" t="s">
        <v>87</v>
      </c>
    </row>
    <row r="56" spans="1:11" ht="18" x14ac:dyDescent="0.35">
      <c r="A56" s="251" t="s">
        <v>213</v>
      </c>
      <c r="B56" s="234">
        <v>21</v>
      </c>
      <c r="C56" s="239">
        <f>MAX(SUM(D68:D83,D91:D92),0)</f>
        <v>0</v>
      </c>
      <c r="D56" s="236">
        <f>SUM(C56)*SUM(H56)</f>
        <v>0</v>
      </c>
      <c r="E56" s="111"/>
      <c r="G56" s="252" t="s">
        <v>214</v>
      </c>
      <c r="H56" s="238">
        <v>7.0000000000000001E-3</v>
      </c>
      <c r="K56" s="96" t="s">
        <v>87</v>
      </c>
    </row>
    <row r="57" spans="1:11" ht="18" x14ac:dyDescent="0.35">
      <c r="A57" s="251" t="s">
        <v>215</v>
      </c>
      <c r="B57" s="234">
        <v>22</v>
      </c>
      <c r="C57" s="239">
        <f>MAX(SUM(C55)-SUM(C56),0)</f>
        <v>0</v>
      </c>
      <c r="D57" s="240">
        <f>SUM(C57)*SUM(H57)</f>
        <v>0</v>
      </c>
      <c r="E57" s="111"/>
      <c r="G57" s="253" t="s">
        <v>216</v>
      </c>
      <c r="H57" s="242">
        <v>1.7999999999999999E-2</v>
      </c>
      <c r="K57" s="96" t="s">
        <v>87</v>
      </c>
    </row>
    <row r="58" spans="1:11" ht="18.75" thickBot="1" x14ac:dyDescent="0.25">
      <c r="A58" s="254" t="s">
        <v>47</v>
      </c>
      <c r="B58" s="234">
        <v>23</v>
      </c>
      <c r="C58" s="244">
        <f>MAX(SUM(C84:C89,C93),0)</f>
        <v>0</v>
      </c>
      <c r="D58" s="245">
        <f>SUM(C58)*SUM(H58)</f>
        <v>0</v>
      </c>
      <c r="E58" s="111"/>
      <c r="G58" s="255" t="s">
        <v>217</v>
      </c>
      <c r="H58" s="256">
        <v>8.3999999999999991E-2</v>
      </c>
      <c r="K58" s="96" t="s">
        <v>87</v>
      </c>
    </row>
    <row r="59" spans="1:11" ht="15" customHeight="1" thickBot="1" x14ac:dyDescent="0.25">
      <c r="A59" s="229" t="s">
        <v>218</v>
      </c>
      <c r="B59" s="234">
        <v>24</v>
      </c>
      <c r="C59" s="224"/>
      <c r="D59" s="225"/>
      <c r="E59" s="226">
        <f>SUM(D60:D62)</f>
        <v>0</v>
      </c>
      <c r="K59" s="96" t="s">
        <v>87</v>
      </c>
    </row>
    <row r="60" spans="1:11" ht="15" customHeight="1" x14ac:dyDescent="0.2">
      <c r="A60" s="233" t="s">
        <v>219</v>
      </c>
      <c r="B60" s="234">
        <v>25</v>
      </c>
      <c r="C60" s="257">
        <f>SUM(Baseline!C25)</f>
        <v>0</v>
      </c>
      <c r="D60" s="258">
        <f>SUM(C60)*SUM(H60)</f>
        <v>0</v>
      </c>
      <c r="E60" s="111"/>
      <c r="H60" s="259">
        <v>0.03</v>
      </c>
      <c r="K60" s="96" t="s">
        <v>87</v>
      </c>
    </row>
    <row r="61" spans="1:11" ht="15" customHeight="1" thickBot="1" x14ac:dyDescent="0.25">
      <c r="A61" s="233" t="s">
        <v>220</v>
      </c>
      <c r="B61" s="234">
        <v>26</v>
      </c>
      <c r="C61" s="257">
        <f>SUM(Baseline!D25)</f>
        <v>0</v>
      </c>
      <c r="D61" s="258">
        <f>SUM(C61)*SUM(H61)</f>
        <v>0</v>
      </c>
      <c r="E61" s="111"/>
      <c r="H61" s="260">
        <v>0.03</v>
      </c>
      <c r="K61" s="96" t="s">
        <v>87</v>
      </c>
    </row>
    <row r="62" spans="1:11" ht="15" customHeight="1" x14ac:dyDescent="0.2">
      <c r="A62" s="243" t="s">
        <v>221</v>
      </c>
      <c r="B62" s="261">
        <v>27</v>
      </c>
      <c r="C62" s="262"/>
      <c r="D62" s="263">
        <f>SUM(Baseline!C12,Baseline!D43)</f>
        <v>0</v>
      </c>
      <c r="E62" s="151"/>
      <c r="K62" s="96" t="s">
        <v>87</v>
      </c>
    </row>
    <row r="63" spans="1:11" ht="15" customHeight="1" x14ac:dyDescent="0.2">
      <c r="K63" s="96" t="s">
        <v>87</v>
      </c>
    </row>
    <row r="64" spans="1:11" ht="14.25" x14ac:dyDescent="0.2">
      <c r="K64" s="96" t="s">
        <v>87</v>
      </c>
    </row>
    <row r="65" spans="1:11" ht="51" x14ac:dyDescent="0.2">
      <c r="A65" s="264" t="s">
        <v>222</v>
      </c>
      <c r="B65" s="155"/>
      <c r="C65" s="265" t="s">
        <v>223</v>
      </c>
      <c r="D65" s="266" t="s">
        <v>224</v>
      </c>
      <c r="K65" s="96" t="s">
        <v>87</v>
      </c>
    </row>
    <row r="66" spans="1:11" ht="14.25" x14ac:dyDescent="0.2">
      <c r="A66" s="150"/>
      <c r="B66" s="104">
        <v>10</v>
      </c>
      <c r="C66" s="105">
        <v>1</v>
      </c>
      <c r="D66" s="106">
        <v>2</v>
      </c>
      <c r="K66" s="96" t="s">
        <v>87</v>
      </c>
    </row>
    <row r="67" spans="1:11" ht="14.25" x14ac:dyDescent="0.2">
      <c r="A67" s="267" t="s">
        <v>225</v>
      </c>
      <c r="B67" s="108">
        <v>1</v>
      </c>
      <c r="C67" s="268">
        <f>SUM('BCR.Balance sheet'!G11)</f>
        <v>0</v>
      </c>
      <c r="D67" s="269"/>
      <c r="K67" s="96" t="s">
        <v>87</v>
      </c>
    </row>
    <row r="68" spans="1:11" ht="14.25" x14ac:dyDescent="0.2">
      <c r="A68" s="270" t="s">
        <v>226</v>
      </c>
      <c r="B68" s="108">
        <v>2</v>
      </c>
      <c r="C68" s="271">
        <f>SUM('BCR.Balance sheet'!G12)</f>
        <v>0</v>
      </c>
      <c r="D68" s="137" t="s">
        <v>90</v>
      </c>
      <c r="K68" s="96" t="s">
        <v>87</v>
      </c>
    </row>
    <row r="69" spans="1:11" ht="14.25" x14ac:dyDescent="0.2">
      <c r="A69" s="270" t="s">
        <v>227</v>
      </c>
      <c r="B69" s="108">
        <v>3</v>
      </c>
      <c r="C69" s="271">
        <f>SUM('BCR.Balance sheet'!G13)</f>
        <v>0</v>
      </c>
      <c r="D69" s="137" t="s">
        <v>90</v>
      </c>
      <c r="K69" s="96" t="s">
        <v>87</v>
      </c>
    </row>
    <row r="70" spans="1:11" ht="14.25" x14ac:dyDescent="0.2">
      <c r="A70" s="270" t="s">
        <v>228</v>
      </c>
      <c r="B70" s="108">
        <v>4</v>
      </c>
      <c r="C70" s="271">
        <f>SUM('BCR.Balance sheet'!G14)</f>
        <v>0</v>
      </c>
      <c r="D70" s="137" t="s">
        <v>90</v>
      </c>
      <c r="K70" s="96" t="s">
        <v>87</v>
      </c>
    </row>
    <row r="71" spans="1:11" ht="14.25" x14ac:dyDescent="0.2">
      <c r="A71" s="270" t="s">
        <v>229</v>
      </c>
      <c r="B71" s="108">
        <v>5</v>
      </c>
      <c r="C71" s="271">
        <f>SUM('BCR.Balance sheet'!G15)</f>
        <v>0</v>
      </c>
      <c r="D71" s="137" t="s">
        <v>90</v>
      </c>
      <c r="K71" s="96" t="s">
        <v>87</v>
      </c>
    </row>
    <row r="72" spans="1:11" ht="14.25" x14ac:dyDescent="0.2">
      <c r="A72" s="270" t="s">
        <v>230</v>
      </c>
      <c r="B72" s="108">
        <v>6</v>
      </c>
      <c r="C72" s="271">
        <f>SUM('BCR.Balance sheet'!G16)</f>
        <v>0</v>
      </c>
      <c r="D72" s="137" t="s">
        <v>90</v>
      </c>
      <c r="K72" s="96" t="s">
        <v>87</v>
      </c>
    </row>
    <row r="73" spans="1:11" ht="14.25" x14ac:dyDescent="0.2">
      <c r="A73" s="270" t="s">
        <v>231</v>
      </c>
      <c r="B73" s="108">
        <v>7</v>
      </c>
      <c r="C73" s="271">
        <f>SUM('BCR.Balance sheet'!G17)</f>
        <v>0</v>
      </c>
      <c r="D73" s="137" t="s">
        <v>90</v>
      </c>
      <c r="K73" s="96" t="s">
        <v>87</v>
      </c>
    </row>
    <row r="74" spans="1:11" ht="14.25" x14ac:dyDescent="0.2">
      <c r="A74" s="270" t="s">
        <v>232</v>
      </c>
      <c r="B74" s="108">
        <v>8</v>
      </c>
      <c r="C74" s="271">
        <f>SUM('BCR.Balance sheet'!G18)</f>
        <v>0</v>
      </c>
      <c r="D74" s="137" t="s">
        <v>90</v>
      </c>
      <c r="K74" s="96" t="s">
        <v>87</v>
      </c>
    </row>
    <row r="75" spans="1:11" ht="14.25" x14ac:dyDescent="0.2">
      <c r="A75" s="270" t="s">
        <v>233</v>
      </c>
      <c r="B75" s="108">
        <v>9</v>
      </c>
      <c r="C75" s="271">
        <f>SUM('BCR.Balance sheet'!G19)</f>
        <v>0</v>
      </c>
      <c r="D75" s="137" t="s">
        <v>90</v>
      </c>
      <c r="K75" s="96" t="s">
        <v>87</v>
      </c>
    </row>
    <row r="76" spans="1:11" ht="14.25" x14ac:dyDescent="0.2">
      <c r="A76" s="270" t="s">
        <v>234</v>
      </c>
      <c r="B76" s="108">
        <v>10</v>
      </c>
      <c r="C76" s="271">
        <f>SUM('BCR.Balance sheet'!G20)</f>
        <v>0</v>
      </c>
      <c r="D76" s="137" t="s">
        <v>90</v>
      </c>
      <c r="K76" s="96" t="s">
        <v>87</v>
      </c>
    </row>
    <row r="77" spans="1:11" ht="14.25" x14ac:dyDescent="0.2">
      <c r="A77" s="270" t="s">
        <v>235</v>
      </c>
      <c r="B77" s="108">
        <v>11</v>
      </c>
      <c r="C77" s="271">
        <f>SUM('BCR.Balance sheet'!G21)</f>
        <v>0</v>
      </c>
      <c r="D77" s="137" t="s">
        <v>90</v>
      </c>
      <c r="K77" s="96" t="s">
        <v>87</v>
      </c>
    </row>
    <row r="78" spans="1:11" ht="14.25" x14ac:dyDescent="0.2">
      <c r="A78" s="270" t="s">
        <v>236</v>
      </c>
      <c r="B78" s="108">
        <v>12</v>
      </c>
      <c r="C78" s="271">
        <f>SUM('BCR.Balance sheet'!G22)</f>
        <v>0</v>
      </c>
      <c r="D78" s="137" t="s">
        <v>90</v>
      </c>
      <c r="K78" s="96" t="s">
        <v>87</v>
      </c>
    </row>
    <row r="79" spans="1:11" ht="14.25" x14ac:dyDescent="0.2">
      <c r="A79" s="270" t="s">
        <v>237</v>
      </c>
      <c r="B79" s="108">
        <v>13</v>
      </c>
      <c r="C79" s="271">
        <f>SUM('BCR.Balance sheet'!G23)</f>
        <v>0</v>
      </c>
      <c r="D79" s="133">
        <f>C79</f>
        <v>0</v>
      </c>
      <c r="K79" s="96" t="s">
        <v>87</v>
      </c>
    </row>
    <row r="80" spans="1:11" ht="14.25" x14ac:dyDescent="0.2">
      <c r="A80" s="270" t="s">
        <v>238</v>
      </c>
      <c r="B80" s="108">
        <v>14</v>
      </c>
      <c r="C80" s="271">
        <f>SUM('BCR.Balance sheet'!G24)</f>
        <v>0</v>
      </c>
      <c r="D80" s="137" t="s">
        <v>90</v>
      </c>
      <c r="K80" s="96" t="s">
        <v>87</v>
      </c>
    </row>
    <row r="81" spans="1:11" ht="14.25" x14ac:dyDescent="0.2">
      <c r="A81" s="270" t="s">
        <v>239</v>
      </c>
      <c r="B81" s="108">
        <v>15</v>
      </c>
      <c r="C81" s="271">
        <f>SUM('BCR.Balance sheet'!G25)</f>
        <v>0</v>
      </c>
      <c r="D81" s="137" t="s">
        <v>90</v>
      </c>
      <c r="K81" s="96" t="s">
        <v>87</v>
      </c>
    </row>
    <row r="82" spans="1:11" ht="14.25" x14ac:dyDescent="0.2">
      <c r="A82" s="270" t="s">
        <v>240</v>
      </c>
      <c r="B82" s="108">
        <v>16</v>
      </c>
      <c r="C82" s="271">
        <f>SUM('BCR.Balance sheet'!G26)</f>
        <v>0</v>
      </c>
      <c r="D82" s="137" t="s">
        <v>90</v>
      </c>
      <c r="K82" s="96" t="s">
        <v>87</v>
      </c>
    </row>
    <row r="83" spans="1:11" ht="14.25" x14ac:dyDescent="0.2">
      <c r="A83" s="270" t="s">
        <v>241</v>
      </c>
      <c r="B83" s="108">
        <v>17</v>
      </c>
      <c r="C83" s="271">
        <f>SUM('BCR.Balance sheet'!G27)</f>
        <v>0</v>
      </c>
      <c r="D83" s="137" t="s">
        <v>90</v>
      </c>
      <c r="K83" s="96" t="s">
        <v>87</v>
      </c>
    </row>
    <row r="84" spans="1:11" ht="14.25" x14ac:dyDescent="0.2">
      <c r="A84" s="270" t="s">
        <v>242</v>
      </c>
      <c r="B84" s="108">
        <v>18</v>
      </c>
      <c r="C84" s="271">
        <f>SUM('BCR.Balance sheet'!G28)</f>
        <v>0</v>
      </c>
      <c r="D84" s="130"/>
      <c r="K84" s="96" t="s">
        <v>87</v>
      </c>
    </row>
    <row r="85" spans="1:11" ht="14.25" x14ac:dyDescent="0.2">
      <c r="A85" s="270" t="s">
        <v>243</v>
      </c>
      <c r="B85" s="108">
        <v>19</v>
      </c>
      <c r="C85" s="271">
        <f>SUM('BCR.Balance sheet'!G29)</f>
        <v>0</v>
      </c>
      <c r="D85" s="130"/>
      <c r="K85" s="96" t="s">
        <v>87</v>
      </c>
    </row>
    <row r="86" spans="1:11" ht="14.25" x14ac:dyDescent="0.2">
      <c r="A86" s="270" t="s">
        <v>244</v>
      </c>
      <c r="B86" s="108">
        <v>20</v>
      </c>
      <c r="C86" s="271">
        <f>SUM('BCR.Balance sheet'!G30)</f>
        <v>0</v>
      </c>
      <c r="D86" s="130"/>
      <c r="K86" s="96" t="s">
        <v>87</v>
      </c>
    </row>
    <row r="87" spans="1:11" ht="14.25" x14ac:dyDescent="0.2">
      <c r="A87" s="270" t="s">
        <v>245</v>
      </c>
      <c r="B87" s="108">
        <v>21</v>
      </c>
      <c r="C87" s="271">
        <f>SUM('BCR.Balance sheet'!G31)</f>
        <v>0</v>
      </c>
      <c r="D87" s="130"/>
      <c r="K87" s="96" t="s">
        <v>87</v>
      </c>
    </row>
    <row r="88" spans="1:11" ht="14.25" x14ac:dyDescent="0.2">
      <c r="A88" s="270" t="s">
        <v>246</v>
      </c>
      <c r="B88" s="108">
        <v>22</v>
      </c>
      <c r="C88" s="271">
        <f>SUM('BCR.Balance sheet'!G32)</f>
        <v>0</v>
      </c>
      <c r="D88" s="130"/>
      <c r="K88" s="96" t="s">
        <v>87</v>
      </c>
    </row>
    <row r="89" spans="1:11" ht="14.25" x14ac:dyDescent="0.2">
      <c r="A89" s="270" t="s">
        <v>247</v>
      </c>
      <c r="B89" s="108">
        <v>23</v>
      </c>
      <c r="C89" s="271">
        <f>SUM('BCR.Balance sheet'!G33)</f>
        <v>0</v>
      </c>
      <c r="D89" s="130"/>
      <c r="K89" s="96" t="s">
        <v>87</v>
      </c>
    </row>
    <row r="90" spans="1:11" ht="14.25" x14ac:dyDescent="0.2">
      <c r="A90" s="272" t="s">
        <v>248</v>
      </c>
      <c r="B90" s="108">
        <v>24</v>
      </c>
      <c r="C90" s="271">
        <f>SUM('BCR.Balance sheet'!G34)</f>
        <v>0</v>
      </c>
      <c r="D90" s="130"/>
      <c r="K90" s="96" t="s">
        <v>87</v>
      </c>
    </row>
    <row r="91" spans="1:11" ht="14.25" x14ac:dyDescent="0.2">
      <c r="A91" s="272" t="s">
        <v>249</v>
      </c>
      <c r="B91" s="108">
        <v>25</v>
      </c>
      <c r="C91" s="271">
        <f>SUM('BCR.Balance sheet'!G35)</f>
        <v>0</v>
      </c>
      <c r="D91" s="137" t="s">
        <v>90</v>
      </c>
      <c r="K91" s="96" t="s">
        <v>87</v>
      </c>
    </row>
    <row r="92" spans="1:11" ht="14.25" x14ac:dyDescent="0.2">
      <c r="A92" s="272" t="s">
        <v>250</v>
      </c>
      <c r="B92" s="108">
        <v>26</v>
      </c>
      <c r="C92" s="271">
        <f>SUM('BCR.Balance sheet'!G36)</f>
        <v>0</v>
      </c>
      <c r="D92" s="137" t="s">
        <v>90</v>
      </c>
      <c r="K92" s="96" t="s">
        <v>87</v>
      </c>
    </row>
    <row r="93" spans="1:11" ht="14.25" x14ac:dyDescent="0.2">
      <c r="A93" s="273" t="s">
        <v>251</v>
      </c>
      <c r="B93" s="119">
        <v>27</v>
      </c>
      <c r="C93" s="274">
        <f>SUM('BCR.Balance sheet'!G45)</f>
        <v>0</v>
      </c>
      <c r="D93" s="275"/>
      <c r="K93" s="96" t="s">
        <v>87</v>
      </c>
    </row>
    <row r="94" spans="1:11" ht="14.25" x14ac:dyDescent="0.2">
      <c r="F94" s="148"/>
      <c r="G94" s="276"/>
      <c r="H94" s="148"/>
      <c r="K94" s="96" t="s">
        <v>87</v>
      </c>
    </row>
    <row r="95" spans="1:11" ht="63.75" x14ac:dyDescent="0.2">
      <c r="A95" s="264" t="s">
        <v>252</v>
      </c>
      <c r="B95" s="277"/>
      <c r="C95" s="278" t="s">
        <v>253</v>
      </c>
      <c r="D95" s="278" t="s">
        <v>254</v>
      </c>
      <c r="E95" s="278" t="s">
        <v>255</v>
      </c>
      <c r="F95" s="278" t="s">
        <v>256</v>
      </c>
      <c r="G95" s="278" t="s">
        <v>257</v>
      </c>
      <c r="H95" s="278" t="s">
        <v>258</v>
      </c>
      <c r="I95" s="278" t="s">
        <v>259</v>
      </c>
      <c r="K95" s="96" t="s">
        <v>87</v>
      </c>
    </row>
    <row r="96" spans="1:11" ht="14.25" x14ac:dyDescent="0.2">
      <c r="A96" s="150"/>
      <c r="B96" s="124">
        <v>11</v>
      </c>
      <c r="C96" s="279">
        <v>1</v>
      </c>
      <c r="D96" s="105">
        <v>2</v>
      </c>
      <c r="E96" s="105">
        <v>3</v>
      </c>
      <c r="F96" s="105">
        <v>4</v>
      </c>
      <c r="G96" s="105">
        <v>5</v>
      </c>
      <c r="H96" s="105">
        <v>6</v>
      </c>
      <c r="I96" s="106">
        <v>7</v>
      </c>
      <c r="K96" s="96" t="s">
        <v>87</v>
      </c>
    </row>
    <row r="97" spans="1:11" ht="14.25" x14ac:dyDescent="0.2">
      <c r="A97" s="280" t="s">
        <v>260</v>
      </c>
      <c r="B97" s="169">
        <v>1</v>
      </c>
      <c r="C97" s="281">
        <f>SUM('BCR.Balance sheet'!L108)</f>
        <v>0</v>
      </c>
      <c r="D97" s="282">
        <f>SUM(D98,D114)</f>
        <v>0</v>
      </c>
      <c r="E97" s="282">
        <f>SUM(E98,E114)</f>
        <v>0</v>
      </c>
      <c r="F97" s="282">
        <f>SUM(F98,F114)</f>
        <v>0</v>
      </c>
      <c r="G97" s="282">
        <f>SUM(G98,G114)</f>
        <v>0</v>
      </c>
      <c r="H97" s="269"/>
      <c r="I97" s="269"/>
      <c r="K97" s="96" t="s">
        <v>87</v>
      </c>
    </row>
    <row r="98" spans="1:11" ht="14.25" x14ac:dyDescent="0.2">
      <c r="A98" s="283" t="s">
        <v>261</v>
      </c>
      <c r="B98" s="169">
        <v>2</v>
      </c>
      <c r="C98" s="284">
        <f>SUM('BCR.Balance sheet'!L109)</f>
        <v>0</v>
      </c>
      <c r="D98" s="285">
        <f>SUM(D99,D107)</f>
        <v>0</v>
      </c>
      <c r="E98" s="285">
        <f>SUM(E99,E107)</f>
        <v>0</v>
      </c>
      <c r="F98" s="285">
        <f>SUM(F99,F107)</f>
        <v>0</v>
      </c>
      <c r="G98" s="285">
        <f>SUM(G99,G107)</f>
        <v>0</v>
      </c>
      <c r="H98" s="130"/>
      <c r="I98" s="130"/>
      <c r="K98" s="96" t="s">
        <v>87</v>
      </c>
    </row>
    <row r="99" spans="1:11" ht="14.25" x14ac:dyDescent="0.2">
      <c r="A99" s="286" t="s">
        <v>262</v>
      </c>
      <c r="B99" s="169">
        <v>3</v>
      </c>
      <c r="C99" s="284">
        <f>SUM('BCR.Balance sheet'!L110)</f>
        <v>0</v>
      </c>
      <c r="D99" s="285">
        <f>SUM(D100:D106)</f>
        <v>0</v>
      </c>
      <c r="E99" s="285">
        <f>SUM(E100:E106)</f>
        <v>0</v>
      </c>
      <c r="F99" s="285">
        <f>SUM(F100:F106)</f>
        <v>0</v>
      </c>
      <c r="G99" s="285">
        <f>SUM(G100:G106)</f>
        <v>0</v>
      </c>
      <c r="H99" s="130"/>
      <c r="I99" s="130"/>
      <c r="K99" s="96" t="s">
        <v>87</v>
      </c>
    </row>
    <row r="100" spans="1:11" ht="14.25" x14ac:dyDescent="0.2">
      <c r="A100" s="287" t="s">
        <v>263</v>
      </c>
      <c r="B100" s="169">
        <v>4</v>
      </c>
      <c r="C100" s="284">
        <f>SUM('BCR.Balance sheet'!L111)</f>
        <v>0</v>
      </c>
      <c r="D100" s="137" t="s">
        <v>90</v>
      </c>
      <c r="E100" s="137" t="s">
        <v>90</v>
      </c>
      <c r="F100" s="137" t="s">
        <v>90</v>
      </c>
      <c r="G100" s="137" t="s">
        <v>90</v>
      </c>
      <c r="H100" s="130"/>
      <c r="I100" s="130"/>
      <c r="K100" s="96" t="s">
        <v>87</v>
      </c>
    </row>
    <row r="101" spans="1:11" ht="14.25" x14ac:dyDescent="0.2">
      <c r="A101" s="287" t="s">
        <v>264</v>
      </c>
      <c r="B101" s="169">
        <v>5</v>
      </c>
      <c r="C101" s="284">
        <f>SUM('BCR.Balance sheet'!L112)</f>
        <v>0</v>
      </c>
      <c r="D101" s="137" t="s">
        <v>90</v>
      </c>
      <c r="E101" s="137" t="s">
        <v>90</v>
      </c>
      <c r="F101" s="137" t="s">
        <v>90</v>
      </c>
      <c r="G101" s="137" t="s">
        <v>90</v>
      </c>
      <c r="H101" s="130"/>
      <c r="I101" s="130"/>
      <c r="K101" s="96" t="s">
        <v>87</v>
      </c>
    </row>
    <row r="102" spans="1:11" ht="14.25" x14ac:dyDescent="0.2">
      <c r="A102" s="287" t="s">
        <v>265</v>
      </c>
      <c r="B102" s="169">
        <v>6</v>
      </c>
      <c r="C102" s="284">
        <f>SUM('BCR.Balance sheet'!L113)</f>
        <v>0</v>
      </c>
      <c r="D102" s="137" t="s">
        <v>90</v>
      </c>
      <c r="E102" s="137" t="s">
        <v>90</v>
      </c>
      <c r="F102" s="137" t="s">
        <v>90</v>
      </c>
      <c r="G102" s="137" t="s">
        <v>90</v>
      </c>
      <c r="H102" s="130"/>
      <c r="I102" s="130"/>
      <c r="K102" s="96" t="s">
        <v>87</v>
      </c>
    </row>
    <row r="103" spans="1:11" ht="14.25" x14ac:dyDescent="0.2">
      <c r="A103" s="287" t="s">
        <v>266</v>
      </c>
      <c r="B103" s="169">
        <v>7</v>
      </c>
      <c r="C103" s="284">
        <f>SUM('BCR.Balance sheet'!L114)</f>
        <v>0</v>
      </c>
      <c r="D103" s="137" t="s">
        <v>90</v>
      </c>
      <c r="E103" s="137" t="s">
        <v>90</v>
      </c>
      <c r="F103" s="137" t="s">
        <v>90</v>
      </c>
      <c r="G103" s="137" t="s">
        <v>90</v>
      </c>
      <c r="H103" s="130"/>
      <c r="I103" s="130"/>
      <c r="K103" s="96" t="s">
        <v>87</v>
      </c>
    </row>
    <row r="104" spans="1:11" ht="14.25" x14ac:dyDescent="0.2">
      <c r="A104" s="287" t="s">
        <v>188</v>
      </c>
      <c r="B104" s="169">
        <v>8</v>
      </c>
      <c r="C104" s="284">
        <f>SUM('BCR.Balance sheet'!L115)</f>
        <v>0</v>
      </c>
      <c r="D104" s="137" t="s">
        <v>90</v>
      </c>
      <c r="E104" s="137" t="s">
        <v>90</v>
      </c>
      <c r="F104" s="137" t="s">
        <v>90</v>
      </c>
      <c r="G104" s="137" t="s">
        <v>90</v>
      </c>
      <c r="H104" s="130"/>
      <c r="I104" s="130"/>
      <c r="K104" s="96" t="s">
        <v>87</v>
      </c>
    </row>
    <row r="105" spans="1:11" ht="14.25" x14ac:dyDescent="0.2">
      <c r="A105" s="287" t="s">
        <v>186</v>
      </c>
      <c r="B105" s="169">
        <v>9</v>
      </c>
      <c r="C105" s="284">
        <f>SUM('BCR.Balance sheet'!L116)</f>
        <v>0</v>
      </c>
      <c r="D105" s="137" t="s">
        <v>90</v>
      </c>
      <c r="E105" s="137" t="s">
        <v>90</v>
      </c>
      <c r="F105" s="137" t="s">
        <v>90</v>
      </c>
      <c r="G105" s="137" t="s">
        <v>90</v>
      </c>
      <c r="H105" s="130"/>
      <c r="I105" s="130"/>
      <c r="K105" s="96" t="s">
        <v>87</v>
      </c>
    </row>
    <row r="106" spans="1:11" ht="14.25" x14ac:dyDescent="0.2">
      <c r="A106" s="287" t="s">
        <v>267</v>
      </c>
      <c r="B106" s="169">
        <v>10</v>
      </c>
      <c r="C106" s="284">
        <f>SUM('BCR.Balance sheet'!L117)</f>
        <v>0</v>
      </c>
      <c r="D106" s="137" t="s">
        <v>90</v>
      </c>
      <c r="E106" s="137" t="s">
        <v>90</v>
      </c>
      <c r="F106" s="137" t="s">
        <v>90</v>
      </c>
      <c r="G106" s="137" t="s">
        <v>90</v>
      </c>
      <c r="H106" s="130"/>
      <c r="I106" s="130"/>
      <c r="K106" s="96" t="s">
        <v>87</v>
      </c>
    </row>
    <row r="107" spans="1:11" ht="14.25" x14ac:dyDescent="0.2">
      <c r="A107" s="286" t="s">
        <v>268</v>
      </c>
      <c r="B107" s="169">
        <v>11</v>
      </c>
      <c r="C107" s="284">
        <f>SUM('BCR.Balance sheet'!L118)</f>
        <v>0</v>
      </c>
      <c r="D107" s="285">
        <f>SUM(D108,D111:D113)</f>
        <v>0</v>
      </c>
      <c r="E107" s="285">
        <f>SUM(E108,E111:E113)</f>
        <v>0</v>
      </c>
      <c r="F107" s="285">
        <f>SUM(F108,F111:F113)</f>
        <v>0</v>
      </c>
      <c r="G107" s="285">
        <f>SUM(G108,G111:G113)</f>
        <v>0</v>
      </c>
      <c r="H107" s="130"/>
      <c r="I107" s="130"/>
      <c r="K107" s="96" t="s">
        <v>87</v>
      </c>
    </row>
    <row r="108" spans="1:11" ht="14.25" x14ac:dyDescent="0.2">
      <c r="A108" s="287" t="s">
        <v>269</v>
      </c>
      <c r="B108" s="169">
        <v>12</v>
      </c>
      <c r="C108" s="284">
        <f>SUM('BCR.Balance sheet'!L119)</f>
        <v>0</v>
      </c>
      <c r="D108" s="137" t="s">
        <v>90</v>
      </c>
      <c r="E108" s="137" t="s">
        <v>90</v>
      </c>
      <c r="F108" s="137" t="s">
        <v>90</v>
      </c>
      <c r="G108" s="137" t="s">
        <v>90</v>
      </c>
      <c r="H108" s="130"/>
      <c r="I108" s="130"/>
      <c r="K108" s="96" t="s">
        <v>87</v>
      </c>
    </row>
    <row r="109" spans="1:11" ht="14.25" x14ac:dyDescent="0.2">
      <c r="A109" s="288" t="s">
        <v>270</v>
      </c>
      <c r="B109" s="169">
        <v>13</v>
      </c>
      <c r="C109" s="284">
        <f>SUM('BCR.Balance sheet'!L120)</f>
        <v>0</v>
      </c>
      <c r="D109" s="137" t="s">
        <v>90</v>
      </c>
      <c r="E109" s="137" t="s">
        <v>90</v>
      </c>
      <c r="F109" s="137" t="s">
        <v>90</v>
      </c>
      <c r="G109" s="137" t="s">
        <v>90</v>
      </c>
      <c r="H109" s="130"/>
      <c r="I109" s="130"/>
      <c r="K109" s="96" t="s">
        <v>87</v>
      </c>
    </row>
    <row r="110" spans="1:11" ht="14.25" x14ac:dyDescent="0.2">
      <c r="A110" s="288" t="s">
        <v>271</v>
      </c>
      <c r="B110" s="169">
        <v>14</v>
      </c>
      <c r="C110" s="284">
        <f>SUM('BCR.Balance sheet'!L121)</f>
        <v>0</v>
      </c>
      <c r="D110" s="137" t="s">
        <v>90</v>
      </c>
      <c r="E110" s="137" t="s">
        <v>90</v>
      </c>
      <c r="F110" s="137" t="s">
        <v>90</v>
      </c>
      <c r="G110" s="137" t="s">
        <v>90</v>
      </c>
      <c r="H110" s="130"/>
      <c r="I110" s="144" t="s">
        <v>90</v>
      </c>
      <c r="K110" s="96" t="s">
        <v>87</v>
      </c>
    </row>
    <row r="111" spans="1:11" ht="14.25" x14ac:dyDescent="0.2">
      <c r="A111" s="287" t="s">
        <v>272</v>
      </c>
      <c r="B111" s="169">
        <v>15</v>
      </c>
      <c r="C111" s="284">
        <f>SUM('BCR.Balance sheet'!L122)</f>
        <v>0</v>
      </c>
      <c r="D111" s="137" t="s">
        <v>90</v>
      </c>
      <c r="E111" s="137" t="s">
        <v>90</v>
      </c>
      <c r="F111" s="137" t="s">
        <v>90</v>
      </c>
      <c r="G111" s="137" t="s">
        <v>90</v>
      </c>
      <c r="H111" s="130"/>
      <c r="I111" s="130"/>
      <c r="K111" s="96" t="s">
        <v>87</v>
      </c>
    </row>
    <row r="112" spans="1:11" ht="14.25" x14ac:dyDescent="0.2">
      <c r="A112" s="287" t="s">
        <v>273</v>
      </c>
      <c r="B112" s="169">
        <v>16</v>
      </c>
      <c r="C112" s="284">
        <f>SUM('BCR.Balance sheet'!L123)</f>
        <v>0</v>
      </c>
      <c r="D112" s="137" t="s">
        <v>90</v>
      </c>
      <c r="E112" s="137" t="s">
        <v>90</v>
      </c>
      <c r="F112" s="137" t="s">
        <v>90</v>
      </c>
      <c r="G112" s="137" t="s">
        <v>90</v>
      </c>
      <c r="H112" s="130"/>
      <c r="I112" s="144" t="s">
        <v>90</v>
      </c>
      <c r="K112" s="96" t="s">
        <v>87</v>
      </c>
    </row>
    <row r="113" spans="1:11" ht="14.25" x14ac:dyDescent="0.2">
      <c r="A113" s="287" t="s">
        <v>274</v>
      </c>
      <c r="B113" s="169">
        <v>17</v>
      </c>
      <c r="C113" s="284">
        <f>SUM('BCR.Balance sheet'!L124)</f>
        <v>0</v>
      </c>
      <c r="D113" s="137" t="s">
        <v>90</v>
      </c>
      <c r="E113" s="137" t="s">
        <v>90</v>
      </c>
      <c r="F113" s="137" t="s">
        <v>90</v>
      </c>
      <c r="G113" s="137" t="s">
        <v>90</v>
      </c>
      <c r="H113" s="130"/>
      <c r="I113" s="130"/>
      <c r="K113" s="96" t="s">
        <v>87</v>
      </c>
    </row>
    <row r="114" spans="1:11" ht="14.25" x14ac:dyDescent="0.2">
      <c r="A114" s="283" t="s">
        <v>275</v>
      </c>
      <c r="B114" s="169">
        <v>18</v>
      </c>
      <c r="C114" s="284">
        <f>SUM('BCR.Balance sheet'!L125)</f>
        <v>0</v>
      </c>
      <c r="D114" s="285">
        <f>SUM(D115,D128)</f>
        <v>0</v>
      </c>
      <c r="E114" s="285">
        <f>SUM(E115,E128)</f>
        <v>0</v>
      </c>
      <c r="F114" s="289"/>
      <c r="G114" s="289"/>
      <c r="H114" s="130"/>
      <c r="I114" s="130"/>
      <c r="K114" s="96" t="s">
        <v>87</v>
      </c>
    </row>
    <row r="115" spans="1:11" ht="14.25" x14ac:dyDescent="0.2">
      <c r="A115" s="286" t="s">
        <v>276</v>
      </c>
      <c r="B115" s="169">
        <v>19</v>
      </c>
      <c r="C115" s="284">
        <f>SUM('BCR.Balance sheet'!L126)</f>
        <v>0</v>
      </c>
      <c r="D115" s="285">
        <f>SUM(D116:D127)</f>
        <v>0</v>
      </c>
      <c r="E115" s="285">
        <f>SUM(E116:E127)</f>
        <v>0</v>
      </c>
      <c r="F115" s="289"/>
      <c r="G115" s="289"/>
      <c r="H115" s="130"/>
      <c r="I115" s="130"/>
      <c r="K115" s="96" t="s">
        <v>87</v>
      </c>
    </row>
    <row r="116" spans="1:11" ht="14.25" x14ac:dyDescent="0.2">
      <c r="A116" s="287" t="s">
        <v>195</v>
      </c>
      <c r="B116" s="169">
        <v>20</v>
      </c>
      <c r="C116" s="284">
        <f>SUM('BCR.Balance sheet'!L127)</f>
        <v>0</v>
      </c>
      <c r="D116" s="137" t="s">
        <v>90</v>
      </c>
      <c r="E116" s="137" t="s">
        <v>90</v>
      </c>
      <c r="F116" s="289"/>
      <c r="G116" s="289"/>
      <c r="H116" s="130"/>
      <c r="I116" s="130"/>
      <c r="K116" s="96" t="s">
        <v>87</v>
      </c>
    </row>
    <row r="117" spans="1:11" ht="14.25" x14ac:dyDescent="0.2">
      <c r="A117" s="287" t="s">
        <v>277</v>
      </c>
      <c r="B117" s="169">
        <v>21</v>
      </c>
      <c r="C117" s="284">
        <f>SUM('BCR.Balance sheet'!L128)</f>
        <v>0</v>
      </c>
      <c r="D117" s="137" t="s">
        <v>90</v>
      </c>
      <c r="E117" s="137" t="s">
        <v>90</v>
      </c>
      <c r="F117" s="289"/>
      <c r="G117" s="289"/>
      <c r="H117" s="130"/>
      <c r="I117" s="130"/>
      <c r="K117" s="96" t="s">
        <v>87</v>
      </c>
    </row>
    <row r="118" spans="1:11" ht="14.25" x14ac:dyDescent="0.2">
      <c r="A118" s="287" t="s">
        <v>278</v>
      </c>
      <c r="B118" s="169">
        <v>22</v>
      </c>
      <c r="C118" s="284">
        <f>SUM('BCR.Balance sheet'!L129)</f>
        <v>0</v>
      </c>
      <c r="D118" s="137" t="s">
        <v>90</v>
      </c>
      <c r="E118" s="137" t="s">
        <v>90</v>
      </c>
      <c r="F118" s="289"/>
      <c r="G118" s="289"/>
      <c r="H118" s="130"/>
      <c r="I118" s="130"/>
      <c r="K118" s="96" t="s">
        <v>87</v>
      </c>
    </row>
    <row r="119" spans="1:11" ht="14.25" x14ac:dyDescent="0.2">
      <c r="A119" s="290" t="s">
        <v>279</v>
      </c>
      <c r="B119" s="169">
        <v>23</v>
      </c>
      <c r="C119" s="284">
        <f>SUM('BCR.Balance sheet'!L130)</f>
        <v>0</v>
      </c>
      <c r="D119" s="137" t="s">
        <v>90</v>
      </c>
      <c r="E119" s="137" t="s">
        <v>90</v>
      </c>
      <c r="F119" s="289"/>
      <c r="G119" s="289"/>
      <c r="H119" s="130"/>
      <c r="I119" s="130"/>
      <c r="K119" s="96" t="s">
        <v>87</v>
      </c>
    </row>
    <row r="120" spans="1:11" ht="14.25" x14ac:dyDescent="0.2">
      <c r="A120" s="287" t="s">
        <v>280</v>
      </c>
      <c r="B120" s="169">
        <v>24</v>
      </c>
      <c r="C120" s="284">
        <f>SUM('BCR.Balance sheet'!L131)</f>
        <v>0</v>
      </c>
      <c r="D120" s="137" t="s">
        <v>90</v>
      </c>
      <c r="E120" s="137" t="s">
        <v>90</v>
      </c>
      <c r="F120" s="289"/>
      <c r="G120" s="289"/>
      <c r="H120" s="130"/>
      <c r="I120" s="130"/>
      <c r="K120" s="96" t="s">
        <v>87</v>
      </c>
    </row>
    <row r="121" spans="1:11" ht="14.25" x14ac:dyDescent="0.2">
      <c r="A121" s="287" t="s">
        <v>281</v>
      </c>
      <c r="B121" s="169">
        <v>25</v>
      </c>
      <c r="C121" s="284">
        <f>SUM('BCR.Balance sheet'!L132)</f>
        <v>0</v>
      </c>
      <c r="D121" s="137" t="s">
        <v>90</v>
      </c>
      <c r="E121" s="137" t="s">
        <v>90</v>
      </c>
      <c r="F121" s="289"/>
      <c r="G121" s="289"/>
      <c r="H121" s="130"/>
      <c r="I121" s="130"/>
      <c r="K121" s="96" t="s">
        <v>87</v>
      </c>
    </row>
    <row r="122" spans="1:11" ht="14.25" x14ac:dyDescent="0.2">
      <c r="A122" s="287" t="s">
        <v>282</v>
      </c>
      <c r="B122" s="169">
        <v>26</v>
      </c>
      <c r="C122" s="284">
        <f>SUM('BCR.Balance sheet'!L133)</f>
        <v>0</v>
      </c>
      <c r="D122" s="137" t="s">
        <v>90</v>
      </c>
      <c r="E122" s="137" t="s">
        <v>90</v>
      </c>
      <c r="F122" s="289"/>
      <c r="G122" s="289"/>
      <c r="H122" s="130"/>
      <c r="I122" s="130"/>
      <c r="K122" s="96" t="s">
        <v>87</v>
      </c>
    </row>
    <row r="123" spans="1:11" ht="14.25" x14ac:dyDescent="0.2">
      <c r="A123" s="287" t="s">
        <v>283</v>
      </c>
      <c r="B123" s="169">
        <v>27</v>
      </c>
      <c r="C123" s="284">
        <f>SUM('BCR.Balance sheet'!L134)</f>
        <v>0</v>
      </c>
      <c r="D123" s="137" t="s">
        <v>90</v>
      </c>
      <c r="E123" s="137" t="s">
        <v>90</v>
      </c>
      <c r="F123" s="289"/>
      <c r="G123" s="289"/>
      <c r="H123" s="130"/>
      <c r="I123" s="130"/>
      <c r="K123" s="96" t="s">
        <v>87</v>
      </c>
    </row>
    <row r="124" spans="1:11" ht="14.25" x14ac:dyDescent="0.2">
      <c r="A124" s="287" t="s">
        <v>284</v>
      </c>
      <c r="B124" s="169">
        <v>28</v>
      </c>
      <c r="C124" s="284">
        <f>SUM('BCR.Balance sheet'!L135)</f>
        <v>0</v>
      </c>
      <c r="D124" s="137" t="s">
        <v>90</v>
      </c>
      <c r="E124" s="137" t="s">
        <v>90</v>
      </c>
      <c r="F124" s="289"/>
      <c r="G124" s="289"/>
      <c r="H124" s="130"/>
      <c r="I124" s="130"/>
      <c r="K124" s="96" t="s">
        <v>87</v>
      </c>
    </row>
    <row r="125" spans="1:11" ht="14.25" x14ac:dyDescent="0.2">
      <c r="A125" s="287" t="s">
        <v>285</v>
      </c>
      <c r="B125" s="169">
        <v>29</v>
      </c>
      <c r="C125" s="284">
        <f>SUM('BCR.Balance sheet'!L136)</f>
        <v>0</v>
      </c>
      <c r="D125" s="137" t="s">
        <v>90</v>
      </c>
      <c r="E125" s="137" t="s">
        <v>90</v>
      </c>
      <c r="F125" s="289"/>
      <c r="G125" s="289"/>
      <c r="H125" s="130"/>
      <c r="I125" s="130"/>
      <c r="K125" s="96" t="s">
        <v>87</v>
      </c>
    </row>
    <row r="126" spans="1:11" ht="14.25" x14ac:dyDescent="0.2">
      <c r="A126" s="287" t="s">
        <v>286</v>
      </c>
      <c r="B126" s="169">
        <v>30</v>
      </c>
      <c r="C126" s="284">
        <f>SUM('BCR.Balance sheet'!L137)</f>
        <v>0</v>
      </c>
      <c r="D126" s="137" t="s">
        <v>90</v>
      </c>
      <c r="E126" s="137" t="s">
        <v>90</v>
      </c>
      <c r="F126" s="289"/>
      <c r="G126" s="289"/>
      <c r="H126" s="130"/>
      <c r="I126" s="130"/>
      <c r="K126" s="96" t="s">
        <v>87</v>
      </c>
    </row>
    <row r="127" spans="1:11" ht="14.25" x14ac:dyDescent="0.2">
      <c r="A127" s="287" t="s">
        <v>287</v>
      </c>
      <c r="B127" s="169">
        <v>31</v>
      </c>
      <c r="C127" s="284">
        <f>SUM('BCR.Balance sheet'!L138)</f>
        <v>0</v>
      </c>
      <c r="D127" s="137" t="s">
        <v>90</v>
      </c>
      <c r="E127" s="137" t="s">
        <v>90</v>
      </c>
      <c r="F127" s="289"/>
      <c r="G127" s="289"/>
      <c r="H127" s="130"/>
      <c r="I127" s="130"/>
      <c r="K127" s="96" t="s">
        <v>87</v>
      </c>
    </row>
    <row r="128" spans="1:11" ht="14.25" x14ac:dyDescent="0.2">
      <c r="A128" s="286" t="s">
        <v>288</v>
      </c>
      <c r="B128" s="169">
        <v>32</v>
      </c>
      <c r="C128" s="284">
        <f>SUM('BCR.Balance sheet'!L139)</f>
        <v>0</v>
      </c>
      <c r="D128" s="285">
        <f>SUM(D129:D131)</f>
        <v>0</v>
      </c>
      <c r="E128" s="285">
        <f>SUM(E129:E131)</f>
        <v>0</v>
      </c>
      <c r="F128" s="289"/>
      <c r="G128" s="289"/>
      <c r="H128" s="130"/>
      <c r="I128" s="130"/>
      <c r="K128" s="96" t="s">
        <v>87</v>
      </c>
    </row>
    <row r="129" spans="1:11" ht="14.25" x14ac:dyDescent="0.2">
      <c r="A129" s="287" t="s">
        <v>204</v>
      </c>
      <c r="B129" s="169">
        <v>33</v>
      </c>
      <c r="C129" s="284">
        <f>SUM('BCR.Balance sheet'!L140)</f>
        <v>0</v>
      </c>
      <c r="D129" s="137" t="s">
        <v>90</v>
      </c>
      <c r="E129" s="137" t="s">
        <v>90</v>
      </c>
      <c r="F129" s="289"/>
      <c r="G129" s="289"/>
      <c r="H129" s="144" t="s">
        <v>90</v>
      </c>
      <c r="I129" s="130"/>
      <c r="K129" s="96" t="s">
        <v>87</v>
      </c>
    </row>
    <row r="130" spans="1:11" ht="14.25" x14ac:dyDescent="0.2">
      <c r="A130" s="287" t="s">
        <v>289</v>
      </c>
      <c r="B130" s="169">
        <v>34</v>
      </c>
      <c r="C130" s="284">
        <f>SUM('BCR.Balance sheet'!L141)</f>
        <v>0</v>
      </c>
      <c r="D130" s="137" t="s">
        <v>90</v>
      </c>
      <c r="E130" s="137" t="s">
        <v>90</v>
      </c>
      <c r="F130" s="289"/>
      <c r="G130" s="289"/>
      <c r="H130" s="130"/>
      <c r="I130" s="130"/>
      <c r="K130" s="96" t="s">
        <v>87</v>
      </c>
    </row>
    <row r="131" spans="1:11" ht="14.25" x14ac:dyDescent="0.2">
      <c r="A131" s="291" t="s">
        <v>290</v>
      </c>
      <c r="B131" s="162">
        <v>35</v>
      </c>
      <c r="C131" s="292">
        <f>SUM('BCR.Balance sheet'!L142)</f>
        <v>0</v>
      </c>
      <c r="D131" s="139" t="s">
        <v>90</v>
      </c>
      <c r="E131" s="139" t="s">
        <v>90</v>
      </c>
      <c r="F131" s="293"/>
      <c r="G131" s="293"/>
      <c r="H131" s="275"/>
      <c r="I131" s="275"/>
      <c r="K131" s="96" t="s">
        <v>87</v>
      </c>
    </row>
    <row r="132" spans="1:11" ht="14.25" x14ac:dyDescent="0.2">
      <c r="K132" s="96" t="s">
        <v>87</v>
      </c>
    </row>
    <row r="133" spans="1:11" ht="14.25" x14ac:dyDescent="0.2">
      <c r="A133" s="96" t="s">
        <v>87</v>
      </c>
      <c r="B133" s="96" t="s">
        <v>87</v>
      </c>
      <c r="C133" s="96" t="s">
        <v>87</v>
      </c>
      <c r="D133" s="96" t="s">
        <v>87</v>
      </c>
      <c r="E133" s="96" t="s">
        <v>87</v>
      </c>
      <c r="F133" s="96" t="s">
        <v>87</v>
      </c>
      <c r="G133" s="96" t="s">
        <v>87</v>
      </c>
      <c r="H133" s="96" t="s">
        <v>87</v>
      </c>
      <c r="I133" s="96" t="s">
        <v>87</v>
      </c>
      <c r="J133" s="96" t="s">
        <v>87</v>
      </c>
      <c r="K133" s="96" t="s">
        <v>87</v>
      </c>
    </row>
  </sheetData>
  <mergeCells count="2">
    <mergeCell ref="C33:C34"/>
    <mergeCell ref="E33:E34"/>
  </mergeCells>
  <printOptions horizontalCentered="1"/>
  <pageMargins left="0.19685039370078741" right="0.19685039370078741" top="0.15748031496062992" bottom="0.15748031496062992" header="0" footer="0"/>
  <pageSetup paperSize="9" scale="87" fitToWidth="2" fitToHeight="3" orientation="landscape" r:id="rId1"/>
  <rowBreaks count="3" manualBreakCount="3">
    <brk id="32" max="16383" man="1"/>
    <brk id="64" max="16383" man="1"/>
    <brk id="9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pageSetUpPr fitToPage="1"/>
  </sheetPr>
  <dimension ref="A1:N145"/>
  <sheetViews>
    <sheetView zoomScaleNormal="100" workbookViewId="0"/>
  </sheetViews>
  <sheetFormatPr defaultRowHeight="12.75" x14ac:dyDescent="0.2"/>
  <cols>
    <col min="1" max="1" width="54" customWidth="1"/>
    <col min="2" max="2" width="3.42578125" customWidth="1"/>
    <col min="3" max="3" width="10.5703125" customWidth="1"/>
    <col min="8" max="8" width="9.7109375" customWidth="1"/>
    <col min="9" max="9" width="8.5703125" customWidth="1"/>
    <col min="10" max="10" width="7.28515625" customWidth="1"/>
    <col min="11" max="11" width="11.85546875" customWidth="1"/>
    <col min="12" max="12" width="11.140625" customWidth="1"/>
    <col min="13" max="13" width="2.7109375" customWidth="1"/>
    <col min="14" max="14" width="2" customWidth="1"/>
  </cols>
  <sheetData>
    <row r="1" spans="1:14" ht="14.25" x14ac:dyDescent="0.2">
      <c r="A1" s="93" t="str">
        <f>FT15.Participant!$A$1</f>
        <v>&lt;IAIG's Name&gt;</v>
      </c>
      <c r="B1" s="94"/>
      <c r="C1" s="94"/>
      <c r="D1" s="94"/>
      <c r="E1" s="94"/>
      <c r="F1" s="94"/>
      <c r="G1" s="94"/>
      <c r="H1" s="95" t="str">
        <f ca="1">HYPERLINK("#"&amp;CELL("address",FT15.IndexSheet),Version)</f>
        <v>2015 IAIS Field Testing Template</v>
      </c>
      <c r="N1" s="96" t="s">
        <v>87</v>
      </c>
    </row>
    <row r="2" spans="1:14" ht="15" x14ac:dyDescent="0.25">
      <c r="A2" s="97" t="str">
        <f>FT15.Participant!$A$2</f>
        <v>&lt;Currency&gt; - (&lt;Unit&gt;)</v>
      </c>
      <c r="B2" s="98" t="s">
        <v>291</v>
      </c>
      <c r="C2" s="99"/>
      <c r="D2" s="99"/>
      <c r="E2" s="99"/>
      <c r="F2" s="99"/>
      <c r="G2" s="99"/>
      <c r="H2" s="100" t="str">
        <f>FT15.Participant!$E$2</f>
        <v xml:space="preserve">&lt;Reporting Date&gt; - </v>
      </c>
      <c r="N2" s="96" t="s">
        <v>87</v>
      </c>
    </row>
    <row r="3" spans="1:14" ht="15" thickBot="1" x14ac:dyDescent="0.25">
      <c r="N3" s="96" t="s">
        <v>87</v>
      </c>
    </row>
    <row r="4" spans="1:14" ht="15.75" thickBot="1" x14ac:dyDescent="0.3">
      <c r="A4" s="294" t="s">
        <v>292</v>
      </c>
      <c r="B4" s="295"/>
      <c r="C4" s="295"/>
      <c r="D4" s="295"/>
      <c r="E4" s="295"/>
      <c r="F4" s="296"/>
      <c r="N4" s="96" t="s">
        <v>87</v>
      </c>
    </row>
    <row r="5" spans="1:14" ht="14.25" x14ac:dyDescent="0.2">
      <c r="N5" s="96" t="s">
        <v>87</v>
      </c>
    </row>
    <row r="6" spans="1:14" ht="29.25" customHeight="1" x14ac:dyDescent="0.3">
      <c r="C6" s="297" t="s">
        <v>293</v>
      </c>
      <c r="D6" s="298"/>
      <c r="E6" s="299"/>
      <c r="G6" s="300" t="s">
        <v>294</v>
      </c>
      <c r="H6" s="301"/>
      <c r="N6" s="96" t="s">
        <v>87</v>
      </c>
    </row>
    <row r="7" spans="1:14" ht="51" x14ac:dyDescent="0.2">
      <c r="C7" s="302" t="s">
        <v>295</v>
      </c>
      <c r="D7" s="303" t="s">
        <v>296</v>
      </c>
      <c r="E7" s="303" t="s">
        <v>223</v>
      </c>
      <c r="F7" s="265" t="s">
        <v>297</v>
      </c>
      <c r="G7" s="265" t="s">
        <v>223</v>
      </c>
      <c r="H7" s="304" t="s">
        <v>295</v>
      </c>
      <c r="N7" s="96" t="s">
        <v>87</v>
      </c>
    </row>
    <row r="8" spans="1:14" ht="15" x14ac:dyDescent="0.2">
      <c r="A8" s="305" t="s">
        <v>298</v>
      </c>
      <c r="B8" s="104">
        <v>12</v>
      </c>
      <c r="C8" s="105">
        <v>1</v>
      </c>
      <c r="D8" s="105" t="s">
        <v>299</v>
      </c>
      <c r="E8" s="105">
        <v>3</v>
      </c>
      <c r="F8" s="105" t="s">
        <v>300</v>
      </c>
      <c r="G8" s="105">
        <v>5</v>
      </c>
      <c r="H8" s="106" t="s">
        <v>301</v>
      </c>
      <c r="N8" s="96" t="s">
        <v>87</v>
      </c>
    </row>
    <row r="9" spans="1:14" ht="15" x14ac:dyDescent="0.25">
      <c r="A9" s="306" t="s">
        <v>302</v>
      </c>
      <c r="B9" s="108">
        <v>1</v>
      </c>
      <c r="C9" s="226">
        <f>SUM(C10,C34,C35:C41,C44:C49)</f>
        <v>0</v>
      </c>
      <c r="D9" s="226">
        <f t="shared" ref="D9:D49" si="0">SUM(C9)-SUM(E9)</f>
        <v>0</v>
      </c>
      <c r="E9" s="226">
        <f>SUM(E10,E34,E35:E41,E44:E49)</f>
        <v>0</v>
      </c>
      <c r="F9" s="226">
        <f>SUM(F10,F34,F35:F41,F44:F49)</f>
        <v>0</v>
      </c>
      <c r="G9" s="226">
        <f>SUM(G10,G34,G35:G41,G44:G49)</f>
        <v>0</v>
      </c>
      <c r="H9" s="226">
        <f>SUM(H10,H34,H35:H41,H44:H49)</f>
        <v>0</v>
      </c>
      <c r="N9" s="96" t="s">
        <v>87</v>
      </c>
    </row>
    <row r="10" spans="1:14" ht="14.25" x14ac:dyDescent="0.2">
      <c r="A10" s="307" t="s">
        <v>303</v>
      </c>
      <c r="B10" s="108">
        <v>2</v>
      </c>
      <c r="C10" s="226">
        <f>SUM(C11:C33)</f>
        <v>0</v>
      </c>
      <c r="D10" s="226">
        <f t="shared" si="0"/>
        <v>0</v>
      </c>
      <c r="E10" s="226">
        <f>SUM(E11:E33)</f>
        <v>0</v>
      </c>
      <c r="F10" s="226">
        <f>SUM(F11:F33)</f>
        <v>0</v>
      </c>
      <c r="G10" s="226">
        <f>SUM(G11:G33)</f>
        <v>0</v>
      </c>
      <c r="H10" s="226">
        <f>SUM(H11:H33)</f>
        <v>0</v>
      </c>
      <c r="N10" s="96" t="s">
        <v>87</v>
      </c>
    </row>
    <row r="11" spans="1:14" ht="14.25" x14ac:dyDescent="0.2">
      <c r="A11" s="270" t="s">
        <v>225</v>
      </c>
      <c r="B11" s="108">
        <v>3</v>
      </c>
      <c r="C11" s="137" t="s">
        <v>90</v>
      </c>
      <c r="D11" s="133">
        <f t="shared" si="0"/>
        <v>0</v>
      </c>
      <c r="E11" s="137" t="s">
        <v>90</v>
      </c>
      <c r="F11" s="133">
        <f t="shared" ref="F11:F42" si="1">SUM(E11)-SUM(G11)</f>
        <v>0</v>
      </c>
      <c r="G11" s="137" t="s">
        <v>90</v>
      </c>
      <c r="H11" s="133">
        <f t="shared" ref="H11:H62" si="2">SUM(D11,G11)</f>
        <v>0</v>
      </c>
      <c r="N11" s="96" t="s">
        <v>87</v>
      </c>
    </row>
    <row r="12" spans="1:14" ht="14.25" x14ac:dyDescent="0.2">
      <c r="A12" s="270" t="s">
        <v>226</v>
      </c>
      <c r="B12" s="108">
        <v>4</v>
      </c>
      <c r="C12" s="137" t="s">
        <v>90</v>
      </c>
      <c r="D12" s="133">
        <f t="shared" si="0"/>
        <v>0</v>
      </c>
      <c r="E12" s="137" t="s">
        <v>90</v>
      </c>
      <c r="F12" s="133">
        <f t="shared" si="1"/>
        <v>0</v>
      </c>
      <c r="G12" s="137" t="s">
        <v>90</v>
      </c>
      <c r="H12" s="133">
        <f t="shared" si="2"/>
        <v>0</v>
      </c>
      <c r="N12" s="96" t="s">
        <v>87</v>
      </c>
    </row>
    <row r="13" spans="1:14" ht="14.25" x14ac:dyDescent="0.2">
      <c r="A13" s="270" t="s">
        <v>227</v>
      </c>
      <c r="B13" s="108">
        <v>5</v>
      </c>
      <c r="C13" s="137" t="s">
        <v>90</v>
      </c>
      <c r="D13" s="133">
        <f t="shared" si="0"/>
        <v>0</v>
      </c>
      <c r="E13" s="137" t="s">
        <v>90</v>
      </c>
      <c r="F13" s="133">
        <f t="shared" si="1"/>
        <v>0</v>
      </c>
      <c r="G13" s="137" t="s">
        <v>90</v>
      </c>
      <c r="H13" s="133">
        <f t="shared" si="2"/>
        <v>0</v>
      </c>
      <c r="N13" s="96" t="s">
        <v>87</v>
      </c>
    </row>
    <row r="14" spans="1:14" ht="14.25" x14ac:dyDescent="0.2">
      <c r="A14" s="270" t="s">
        <v>228</v>
      </c>
      <c r="B14" s="108">
        <v>6</v>
      </c>
      <c r="C14" s="137" t="s">
        <v>90</v>
      </c>
      <c r="D14" s="133">
        <f t="shared" si="0"/>
        <v>0</v>
      </c>
      <c r="E14" s="137" t="s">
        <v>90</v>
      </c>
      <c r="F14" s="133">
        <f t="shared" si="1"/>
        <v>0</v>
      </c>
      <c r="G14" s="137" t="s">
        <v>90</v>
      </c>
      <c r="H14" s="133">
        <f t="shared" si="2"/>
        <v>0</v>
      </c>
      <c r="N14" s="96" t="s">
        <v>87</v>
      </c>
    </row>
    <row r="15" spans="1:14" ht="14.25" x14ac:dyDescent="0.2">
      <c r="A15" s="270" t="s">
        <v>229</v>
      </c>
      <c r="B15" s="108">
        <v>7</v>
      </c>
      <c r="C15" s="137" t="s">
        <v>90</v>
      </c>
      <c r="D15" s="133">
        <f t="shared" si="0"/>
        <v>0</v>
      </c>
      <c r="E15" s="137" t="s">
        <v>90</v>
      </c>
      <c r="F15" s="133">
        <f t="shared" si="1"/>
        <v>0</v>
      </c>
      <c r="G15" s="137" t="s">
        <v>90</v>
      </c>
      <c r="H15" s="133">
        <f t="shared" si="2"/>
        <v>0</v>
      </c>
      <c r="N15" s="96" t="s">
        <v>87</v>
      </c>
    </row>
    <row r="16" spans="1:14" ht="14.25" x14ac:dyDescent="0.2">
      <c r="A16" s="270" t="s">
        <v>230</v>
      </c>
      <c r="B16" s="108">
        <v>8</v>
      </c>
      <c r="C16" s="137" t="s">
        <v>90</v>
      </c>
      <c r="D16" s="133">
        <f t="shared" si="0"/>
        <v>0</v>
      </c>
      <c r="E16" s="137" t="s">
        <v>90</v>
      </c>
      <c r="F16" s="133">
        <f t="shared" si="1"/>
        <v>0</v>
      </c>
      <c r="G16" s="137" t="s">
        <v>90</v>
      </c>
      <c r="H16" s="133">
        <f t="shared" si="2"/>
        <v>0</v>
      </c>
      <c r="N16" s="96" t="s">
        <v>87</v>
      </c>
    </row>
    <row r="17" spans="1:14" ht="14.25" x14ac:dyDescent="0.2">
      <c r="A17" s="270" t="s">
        <v>231</v>
      </c>
      <c r="B17" s="108">
        <v>9</v>
      </c>
      <c r="C17" s="137" t="s">
        <v>90</v>
      </c>
      <c r="D17" s="133">
        <f t="shared" si="0"/>
        <v>0</v>
      </c>
      <c r="E17" s="137" t="s">
        <v>90</v>
      </c>
      <c r="F17" s="133">
        <f t="shared" si="1"/>
        <v>0</v>
      </c>
      <c r="G17" s="137" t="s">
        <v>90</v>
      </c>
      <c r="H17" s="133">
        <f t="shared" si="2"/>
        <v>0</v>
      </c>
      <c r="N17" s="96" t="s">
        <v>87</v>
      </c>
    </row>
    <row r="18" spans="1:14" ht="14.25" x14ac:dyDescent="0.2">
      <c r="A18" s="270" t="s">
        <v>232</v>
      </c>
      <c r="B18" s="108">
        <v>10</v>
      </c>
      <c r="C18" s="137" t="s">
        <v>90</v>
      </c>
      <c r="D18" s="133">
        <f t="shared" si="0"/>
        <v>0</v>
      </c>
      <c r="E18" s="137" t="s">
        <v>90</v>
      </c>
      <c r="F18" s="133">
        <f t="shared" si="1"/>
        <v>0</v>
      </c>
      <c r="G18" s="137" t="s">
        <v>90</v>
      </c>
      <c r="H18" s="133">
        <f t="shared" si="2"/>
        <v>0</v>
      </c>
      <c r="N18" s="96" t="s">
        <v>87</v>
      </c>
    </row>
    <row r="19" spans="1:14" ht="14.25" x14ac:dyDescent="0.2">
      <c r="A19" s="270" t="s">
        <v>233</v>
      </c>
      <c r="B19" s="108">
        <v>11</v>
      </c>
      <c r="C19" s="137" t="s">
        <v>90</v>
      </c>
      <c r="D19" s="133">
        <f t="shared" si="0"/>
        <v>0</v>
      </c>
      <c r="E19" s="137" t="s">
        <v>90</v>
      </c>
      <c r="F19" s="133">
        <f t="shared" si="1"/>
        <v>0</v>
      </c>
      <c r="G19" s="137" t="s">
        <v>90</v>
      </c>
      <c r="H19" s="133">
        <f t="shared" si="2"/>
        <v>0</v>
      </c>
      <c r="N19" s="96" t="s">
        <v>87</v>
      </c>
    </row>
    <row r="20" spans="1:14" ht="14.25" x14ac:dyDescent="0.2">
      <c r="A20" s="270" t="s">
        <v>234</v>
      </c>
      <c r="B20" s="108">
        <v>12</v>
      </c>
      <c r="C20" s="137" t="s">
        <v>90</v>
      </c>
      <c r="D20" s="133">
        <f t="shared" si="0"/>
        <v>0</v>
      </c>
      <c r="E20" s="137" t="s">
        <v>90</v>
      </c>
      <c r="F20" s="133">
        <f t="shared" si="1"/>
        <v>0</v>
      </c>
      <c r="G20" s="137" t="s">
        <v>90</v>
      </c>
      <c r="H20" s="133">
        <f t="shared" si="2"/>
        <v>0</v>
      </c>
      <c r="N20" s="96" t="s">
        <v>87</v>
      </c>
    </row>
    <row r="21" spans="1:14" ht="14.25" x14ac:dyDescent="0.2">
      <c r="A21" s="270" t="s">
        <v>235</v>
      </c>
      <c r="B21" s="108">
        <v>13</v>
      </c>
      <c r="C21" s="137" t="s">
        <v>90</v>
      </c>
      <c r="D21" s="133">
        <f t="shared" si="0"/>
        <v>0</v>
      </c>
      <c r="E21" s="137" t="s">
        <v>90</v>
      </c>
      <c r="F21" s="133">
        <f t="shared" si="1"/>
        <v>0</v>
      </c>
      <c r="G21" s="137" t="s">
        <v>90</v>
      </c>
      <c r="H21" s="133">
        <f t="shared" si="2"/>
        <v>0</v>
      </c>
      <c r="N21" s="96" t="s">
        <v>87</v>
      </c>
    </row>
    <row r="22" spans="1:14" ht="14.25" x14ac:dyDescent="0.2">
      <c r="A22" s="270" t="s">
        <v>236</v>
      </c>
      <c r="B22" s="108">
        <v>14</v>
      </c>
      <c r="C22" s="137" t="s">
        <v>90</v>
      </c>
      <c r="D22" s="133">
        <f t="shared" si="0"/>
        <v>0</v>
      </c>
      <c r="E22" s="137" t="s">
        <v>90</v>
      </c>
      <c r="F22" s="133">
        <f t="shared" si="1"/>
        <v>0</v>
      </c>
      <c r="G22" s="137" t="s">
        <v>90</v>
      </c>
      <c r="H22" s="133">
        <f t="shared" si="2"/>
        <v>0</v>
      </c>
      <c r="N22" s="96" t="s">
        <v>87</v>
      </c>
    </row>
    <row r="23" spans="1:14" ht="14.25" x14ac:dyDescent="0.2">
      <c r="A23" s="270" t="s">
        <v>237</v>
      </c>
      <c r="B23" s="108">
        <v>15</v>
      </c>
      <c r="C23" s="137" t="s">
        <v>90</v>
      </c>
      <c r="D23" s="133">
        <f t="shared" si="0"/>
        <v>0</v>
      </c>
      <c r="E23" s="137" t="s">
        <v>90</v>
      </c>
      <c r="F23" s="133">
        <f t="shared" si="1"/>
        <v>0</v>
      </c>
      <c r="G23" s="137" t="s">
        <v>90</v>
      </c>
      <c r="H23" s="133">
        <f t="shared" si="2"/>
        <v>0</v>
      </c>
      <c r="N23" s="96" t="s">
        <v>87</v>
      </c>
    </row>
    <row r="24" spans="1:14" ht="14.25" x14ac:dyDescent="0.2">
      <c r="A24" s="270" t="s">
        <v>238</v>
      </c>
      <c r="B24" s="108">
        <v>16</v>
      </c>
      <c r="C24" s="137" t="s">
        <v>90</v>
      </c>
      <c r="D24" s="133">
        <f t="shared" si="0"/>
        <v>0</v>
      </c>
      <c r="E24" s="137" t="s">
        <v>90</v>
      </c>
      <c r="F24" s="133">
        <f t="shared" si="1"/>
        <v>0</v>
      </c>
      <c r="G24" s="137" t="s">
        <v>90</v>
      </c>
      <c r="H24" s="133">
        <f t="shared" si="2"/>
        <v>0</v>
      </c>
      <c r="N24" s="96" t="s">
        <v>87</v>
      </c>
    </row>
    <row r="25" spans="1:14" ht="14.25" x14ac:dyDescent="0.2">
      <c r="A25" s="270" t="s">
        <v>239</v>
      </c>
      <c r="B25" s="108">
        <v>17</v>
      </c>
      <c r="C25" s="137" t="s">
        <v>90</v>
      </c>
      <c r="D25" s="133">
        <f t="shared" si="0"/>
        <v>0</v>
      </c>
      <c r="E25" s="137" t="s">
        <v>90</v>
      </c>
      <c r="F25" s="133">
        <f t="shared" si="1"/>
        <v>0</v>
      </c>
      <c r="G25" s="137" t="s">
        <v>90</v>
      </c>
      <c r="H25" s="133">
        <f t="shared" si="2"/>
        <v>0</v>
      </c>
      <c r="N25" s="96" t="s">
        <v>87</v>
      </c>
    </row>
    <row r="26" spans="1:14" ht="14.25" x14ac:dyDescent="0.2">
      <c r="A26" s="270" t="s">
        <v>240</v>
      </c>
      <c r="B26" s="108">
        <v>18</v>
      </c>
      <c r="C26" s="137" t="s">
        <v>90</v>
      </c>
      <c r="D26" s="133">
        <f t="shared" si="0"/>
        <v>0</v>
      </c>
      <c r="E26" s="137" t="s">
        <v>90</v>
      </c>
      <c r="F26" s="133">
        <f t="shared" si="1"/>
        <v>0</v>
      </c>
      <c r="G26" s="137" t="s">
        <v>90</v>
      </c>
      <c r="H26" s="133">
        <f t="shared" si="2"/>
        <v>0</v>
      </c>
      <c r="N26" s="96" t="s">
        <v>87</v>
      </c>
    </row>
    <row r="27" spans="1:14" ht="14.25" x14ac:dyDescent="0.2">
      <c r="A27" s="270" t="s">
        <v>241</v>
      </c>
      <c r="B27" s="108">
        <v>19</v>
      </c>
      <c r="C27" s="137" t="s">
        <v>90</v>
      </c>
      <c r="D27" s="133">
        <f t="shared" si="0"/>
        <v>0</v>
      </c>
      <c r="E27" s="137" t="s">
        <v>90</v>
      </c>
      <c r="F27" s="133">
        <f t="shared" si="1"/>
        <v>0</v>
      </c>
      <c r="G27" s="137" t="s">
        <v>90</v>
      </c>
      <c r="H27" s="133">
        <f t="shared" si="2"/>
        <v>0</v>
      </c>
      <c r="N27" s="96" t="s">
        <v>87</v>
      </c>
    </row>
    <row r="28" spans="1:14" ht="14.25" x14ac:dyDescent="0.2">
      <c r="A28" s="270" t="s">
        <v>242</v>
      </c>
      <c r="B28" s="108">
        <v>20</v>
      </c>
      <c r="C28" s="137" t="s">
        <v>90</v>
      </c>
      <c r="D28" s="133">
        <f t="shared" si="0"/>
        <v>0</v>
      </c>
      <c r="E28" s="137" t="s">
        <v>90</v>
      </c>
      <c r="F28" s="133">
        <f t="shared" si="1"/>
        <v>0</v>
      </c>
      <c r="G28" s="137" t="s">
        <v>90</v>
      </c>
      <c r="H28" s="133">
        <f t="shared" si="2"/>
        <v>0</v>
      </c>
      <c r="N28" s="96" t="s">
        <v>87</v>
      </c>
    </row>
    <row r="29" spans="1:14" ht="14.25" x14ac:dyDescent="0.2">
      <c r="A29" s="270" t="s">
        <v>243</v>
      </c>
      <c r="B29" s="108">
        <v>21</v>
      </c>
      <c r="C29" s="137" t="s">
        <v>90</v>
      </c>
      <c r="D29" s="133">
        <f t="shared" si="0"/>
        <v>0</v>
      </c>
      <c r="E29" s="137" t="s">
        <v>90</v>
      </c>
      <c r="F29" s="133">
        <f t="shared" si="1"/>
        <v>0</v>
      </c>
      <c r="G29" s="137" t="s">
        <v>90</v>
      </c>
      <c r="H29" s="133">
        <f t="shared" si="2"/>
        <v>0</v>
      </c>
      <c r="N29" s="96" t="s">
        <v>87</v>
      </c>
    </row>
    <row r="30" spans="1:14" ht="14.25" x14ac:dyDescent="0.2">
      <c r="A30" s="270" t="s">
        <v>244</v>
      </c>
      <c r="B30" s="108">
        <v>22</v>
      </c>
      <c r="C30" s="137" t="s">
        <v>90</v>
      </c>
      <c r="D30" s="133">
        <f t="shared" si="0"/>
        <v>0</v>
      </c>
      <c r="E30" s="137" t="s">
        <v>90</v>
      </c>
      <c r="F30" s="133">
        <f t="shared" si="1"/>
        <v>0</v>
      </c>
      <c r="G30" s="137" t="s">
        <v>90</v>
      </c>
      <c r="H30" s="133">
        <f t="shared" si="2"/>
        <v>0</v>
      </c>
      <c r="N30" s="96" t="s">
        <v>87</v>
      </c>
    </row>
    <row r="31" spans="1:14" ht="14.25" x14ac:dyDescent="0.2">
      <c r="A31" s="270" t="s">
        <v>245</v>
      </c>
      <c r="B31" s="108">
        <v>23</v>
      </c>
      <c r="C31" s="137" t="s">
        <v>90</v>
      </c>
      <c r="D31" s="133">
        <f t="shared" si="0"/>
        <v>0</v>
      </c>
      <c r="E31" s="137" t="s">
        <v>90</v>
      </c>
      <c r="F31" s="133">
        <f t="shared" si="1"/>
        <v>0</v>
      </c>
      <c r="G31" s="137" t="s">
        <v>90</v>
      </c>
      <c r="H31" s="133">
        <f t="shared" si="2"/>
        <v>0</v>
      </c>
      <c r="N31" s="96" t="s">
        <v>87</v>
      </c>
    </row>
    <row r="32" spans="1:14" ht="14.25" x14ac:dyDescent="0.2">
      <c r="A32" s="270" t="s">
        <v>246</v>
      </c>
      <c r="B32" s="108">
        <v>24</v>
      </c>
      <c r="C32" s="137" t="s">
        <v>90</v>
      </c>
      <c r="D32" s="133">
        <f t="shared" si="0"/>
        <v>0</v>
      </c>
      <c r="E32" s="137" t="s">
        <v>90</v>
      </c>
      <c r="F32" s="133">
        <f t="shared" si="1"/>
        <v>0</v>
      </c>
      <c r="G32" s="137" t="s">
        <v>90</v>
      </c>
      <c r="H32" s="133">
        <f t="shared" si="2"/>
        <v>0</v>
      </c>
      <c r="N32" s="96" t="s">
        <v>87</v>
      </c>
    </row>
    <row r="33" spans="1:14" ht="14.25" x14ac:dyDescent="0.2">
      <c r="A33" s="270" t="s">
        <v>247</v>
      </c>
      <c r="B33" s="108">
        <v>25</v>
      </c>
      <c r="C33" s="137" t="s">
        <v>90</v>
      </c>
      <c r="D33" s="133">
        <f t="shared" si="0"/>
        <v>0</v>
      </c>
      <c r="E33" s="137" t="s">
        <v>90</v>
      </c>
      <c r="F33" s="133">
        <f t="shared" si="1"/>
        <v>0</v>
      </c>
      <c r="G33" s="137" t="s">
        <v>90</v>
      </c>
      <c r="H33" s="133">
        <f t="shared" si="2"/>
        <v>0</v>
      </c>
      <c r="N33" s="96" t="s">
        <v>87</v>
      </c>
    </row>
    <row r="34" spans="1:14" ht="14.25" x14ac:dyDescent="0.2">
      <c r="A34" s="272" t="s">
        <v>248</v>
      </c>
      <c r="B34" s="108">
        <v>26</v>
      </c>
      <c r="C34" s="137" t="s">
        <v>90</v>
      </c>
      <c r="D34" s="133">
        <f t="shared" si="0"/>
        <v>0</v>
      </c>
      <c r="E34" s="137" t="s">
        <v>90</v>
      </c>
      <c r="F34" s="133">
        <f t="shared" si="1"/>
        <v>0</v>
      </c>
      <c r="G34" s="137" t="s">
        <v>90</v>
      </c>
      <c r="H34" s="133">
        <f t="shared" si="2"/>
        <v>0</v>
      </c>
      <c r="N34" s="96" t="s">
        <v>87</v>
      </c>
    </row>
    <row r="35" spans="1:14" ht="14.25" x14ac:dyDescent="0.2">
      <c r="A35" s="272" t="s">
        <v>249</v>
      </c>
      <c r="B35" s="108">
        <v>27</v>
      </c>
      <c r="C35" s="137" t="s">
        <v>90</v>
      </c>
      <c r="D35" s="133">
        <f t="shared" si="0"/>
        <v>0</v>
      </c>
      <c r="E35" s="137" t="s">
        <v>90</v>
      </c>
      <c r="F35" s="133">
        <f t="shared" si="1"/>
        <v>0</v>
      </c>
      <c r="G35" s="137" t="s">
        <v>90</v>
      </c>
      <c r="H35" s="133">
        <f t="shared" si="2"/>
        <v>0</v>
      </c>
      <c r="N35" s="96" t="s">
        <v>87</v>
      </c>
    </row>
    <row r="36" spans="1:14" ht="14.25" x14ac:dyDescent="0.2">
      <c r="A36" s="272" t="s">
        <v>250</v>
      </c>
      <c r="B36" s="108">
        <v>28</v>
      </c>
      <c r="C36" s="137" t="s">
        <v>90</v>
      </c>
      <c r="D36" s="133">
        <f t="shared" si="0"/>
        <v>0</v>
      </c>
      <c r="E36" s="137" t="s">
        <v>90</v>
      </c>
      <c r="F36" s="133">
        <f t="shared" si="1"/>
        <v>0</v>
      </c>
      <c r="G36" s="137" t="s">
        <v>90</v>
      </c>
      <c r="H36" s="133">
        <f t="shared" si="2"/>
        <v>0</v>
      </c>
      <c r="N36" s="96" t="s">
        <v>87</v>
      </c>
    </row>
    <row r="37" spans="1:14" ht="14.25" x14ac:dyDescent="0.2">
      <c r="A37" s="308"/>
      <c r="B37" s="309"/>
      <c r="C37" s="310"/>
      <c r="D37" s="310"/>
      <c r="E37" s="310"/>
      <c r="F37" s="310"/>
      <c r="G37" s="310"/>
      <c r="H37" s="310"/>
      <c r="N37" s="96" t="s">
        <v>87</v>
      </c>
    </row>
    <row r="38" spans="1:14" ht="14.25" x14ac:dyDescent="0.2">
      <c r="A38" s="272" t="s">
        <v>304</v>
      </c>
      <c r="B38" s="108">
        <v>30</v>
      </c>
      <c r="C38" s="137" t="s">
        <v>90</v>
      </c>
      <c r="D38" s="133">
        <f t="shared" si="0"/>
        <v>0</v>
      </c>
      <c r="E38" s="137" t="s">
        <v>90</v>
      </c>
      <c r="F38" s="133">
        <f t="shared" si="1"/>
        <v>0</v>
      </c>
      <c r="G38" s="137" t="s">
        <v>90</v>
      </c>
      <c r="H38" s="133">
        <f t="shared" si="2"/>
        <v>0</v>
      </c>
      <c r="N38" s="96" t="s">
        <v>87</v>
      </c>
    </row>
    <row r="39" spans="1:14" ht="14.25" x14ac:dyDescent="0.2">
      <c r="A39" s="272" t="s">
        <v>305</v>
      </c>
      <c r="B39" s="108">
        <v>31</v>
      </c>
      <c r="C39" s="137" t="s">
        <v>90</v>
      </c>
      <c r="D39" s="133">
        <f t="shared" si="0"/>
        <v>0</v>
      </c>
      <c r="E39" s="137" t="s">
        <v>90</v>
      </c>
      <c r="F39" s="133">
        <f t="shared" si="1"/>
        <v>0</v>
      </c>
      <c r="G39" s="137" t="s">
        <v>90</v>
      </c>
      <c r="H39" s="133">
        <f t="shared" si="2"/>
        <v>0</v>
      </c>
      <c r="N39" s="96" t="s">
        <v>87</v>
      </c>
    </row>
    <row r="40" spans="1:14" ht="14.25" x14ac:dyDescent="0.2">
      <c r="A40" s="272" t="s">
        <v>306</v>
      </c>
      <c r="B40" s="108">
        <v>32</v>
      </c>
      <c r="C40" s="137" t="s">
        <v>90</v>
      </c>
      <c r="D40" s="133">
        <f t="shared" si="0"/>
        <v>0</v>
      </c>
      <c r="E40" s="137" t="s">
        <v>90</v>
      </c>
      <c r="F40" s="133">
        <f t="shared" si="1"/>
        <v>0</v>
      </c>
      <c r="G40" s="137" t="s">
        <v>90</v>
      </c>
      <c r="H40" s="133">
        <f t="shared" si="2"/>
        <v>0</v>
      </c>
      <c r="N40" s="96" t="s">
        <v>87</v>
      </c>
    </row>
    <row r="41" spans="1:14" ht="14.25" x14ac:dyDescent="0.2">
      <c r="A41" s="272" t="s">
        <v>307</v>
      </c>
      <c r="B41" s="108">
        <v>33</v>
      </c>
      <c r="C41" s="133">
        <f>SUM(C42:C43)</f>
        <v>0</v>
      </c>
      <c r="D41" s="133">
        <f t="shared" si="0"/>
        <v>0</v>
      </c>
      <c r="E41" s="133">
        <f>SUM(E42:E43)</f>
        <v>0</v>
      </c>
      <c r="F41" s="133">
        <f t="shared" si="1"/>
        <v>0</v>
      </c>
      <c r="G41" s="133">
        <f>SUM(G42:G43)</f>
        <v>0</v>
      </c>
      <c r="H41" s="133">
        <f t="shared" si="2"/>
        <v>0</v>
      </c>
      <c r="N41" s="96" t="s">
        <v>87</v>
      </c>
    </row>
    <row r="42" spans="1:14" ht="14.25" x14ac:dyDescent="0.2">
      <c r="A42" s="270" t="s">
        <v>308</v>
      </c>
      <c r="B42" s="108">
        <v>34</v>
      </c>
      <c r="C42" s="137" t="s">
        <v>90</v>
      </c>
      <c r="D42" s="133">
        <f t="shared" si="0"/>
        <v>0</v>
      </c>
      <c r="E42" s="137" t="s">
        <v>90</v>
      </c>
      <c r="F42" s="133">
        <f t="shared" si="1"/>
        <v>0</v>
      </c>
      <c r="G42" s="137"/>
      <c r="H42" s="133">
        <f t="shared" si="2"/>
        <v>0</v>
      </c>
      <c r="N42" s="96" t="s">
        <v>87</v>
      </c>
    </row>
    <row r="43" spans="1:14" ht="14.25" x14ac:dyDescent="0.2">
      <c r="A43" s="270" t="s">
        <v>309</v>
      </c>
      <c r="B43" s="108">
        <v>35</v>
      </c>
      <c r="C43" s="137" t="s">
        <v>90</v>
      </c>
      <c r="D43" s="133">
        <f t="shared" si="0"/>
        <v>0</v>
      </c>
      <c r="E43" s="137" t="s">
        <v>90</v>
      </c>
      <c r="F43" s="133">
        <f t="shared" ref="F43:F74" si="3">SUM(E43)-SUM(G43)</f>
        <v>0</v>
      </c>
      <c r="G43" s="137"/>
      <c r="H43" s="133">
        <f t="shared" si="2"/>
        <v>0</v>
      </c>
      <c r="N43" s="96" t="s">
        <v>87</v>
      </c>
    </row>
    <row r="44" spans="1:14" ht="14.25" x14ac:dyDescent="0.2">
      <c r="A44" s="272" t="s">
        <v>310</v>
      </c>
      <c r="B44" s="108">
        <v>36</v>
      </c>
      <c r="C44" s="137" t="s">
        <v>90</v>
      </c>
      <c r="D44" s="133">
        <f t="shared" si="0"/>
        <v>0</v>
      </c>
      <c r="E44" s="137" t="s">
        <v>90</v>
      </c>
      <c r="F44" s="133">
        <f t="shared" si="3"/>
        <v>0</v>
      </c>
      <c r="G44" s="137" t="s">
        <v>90</v>
      </c>
      <c r="H44" s="133">
        <f t="shared" si="2"/>
        <v>0</v>
      </c>
      <c r="N44" s="96" t="s">
        <v>87</v>
      </c>
    </row>
    <row r="45" spans="1:14" ht="14.25" x14ac:dyDescent="0.2">
      <c r="A45" s="272" t="s">
        <v>251</v>
      </c>
      <c r="B45" s="108">
        <v>37</v>
      </c>
      <c r="C45" s="137" t="s">
        <v>90</v>
      </c>
      <c r="D45" s="133">
        <f t="shared" si="0"/>
        <v>0</v>
      </c>
      <c r="E45" s="137" t="s">
        <v>90</v>
      </c>
      <c r="F45" s="133">
        <f t="shared" si="3"/>
        <v>0</v>
      </c>
      <c r="G45" s="137" t="s">
        <v>90</v>
      </c>
      <c r="H45" s="133">
        <f t="shared" si="2"/>
        <v>0</v>
      </c>
      <c r="N45" s="96" t="s">
        <v>87</v>
      </c>
    </row>
    <row r="46" spans="1:14" ht="14.25" x14ac:dyDescent="0.2">
      <c r="A46" s="272" t="s">
        <v>311</v>
      </c>
      <c r="B46" s="108">
        <v>38</v>
      </c>
      <c r="C46" s="137" t="s">
        <v>90</v>
      </c>
      <c r="D46" s="133">
        <f t="shared" si="0"/>
        <v>0</v>
      </c>
      <c r="E46" s="137" t="s">
        <v>90</v>
      </c>
      <c r="F46" s="133">
        <f t="shared" si="3"/>
        <v>0</v>
      </c>
      <c r="G46" s="137" t="s">
        <v>90</v>
      </c>
      <c r="H46" s="133">
        <f t="shared" si="2"/>
        <v>0</v>
      </c>
      <c r="N46" s="96" t="s">
        <v>87</v>
      </c>
    </row>
    <row r="47" spans="1:14" ht="14.25" x14ac:dyDescent="0.2">
      <c r="A47" s="272" t="s">
        <v>312</v>
      </c>
      <c r="B47" s="108">
        <v>39</v>
      </c>
      <c r="C47" s="137" t="s">
        <v>90</v>
      </c>
      <c r="D47" s="133">
        <f t="shared" si="0"/>
        <v>0</v>
      </c>
      <c r="E47" s="137" t="s">
        <v>90</v>
      </c>
      <c r="F47" s="133">
        <f t="shared" si="3"/>
        <v>0</v>
      </c>
      <c r="G47" s="137" t="s">
        <v>90</v>
      </c>
      <c r="H47" s="133">
        <f t="shared" si="2"/>
        <v>0</v>
      </c>
      <c r="N47" s="96" t="s">
        <v>87</v>
      </c>
    </row>
    <row r="48" spans="1:14" ht="14.25" x14ac:dyDescent="0.2">
      <c r="A48" s="272" t="s">
        <v>313</v>
      </c>
      <c r="B48" s="108">
        <v>40</v>
      </c>
      <c r="C48" s="137" t="s">
        <v>90</v>
      </c>
      <c r="D48" s="133">
        <f t="shared" si="0"/>
        <v>0</v>
      </c>
      <c r="E48" s="137" t="s">
        <v>90</v>
      </c>
      <c r="F48" s="133">
        <f t="shared" si="3"/>
        <v>0</v>
      </c>
      <c r="G48" s="137" t="s">
        <v>90</v>
      </c>
      <c r="H48" s="133">
        <f t="shared" si="2"/>
        <v>0</v>
      </c>
      <c r="N48" s="96" t="s">
        <v>87</v>
      </c>
    </row>
    <row r="49" spans="1:14" ht="14.25" x14ac:dyDescent="0.2">
      <c r="A49" s="273" t="s">
        <v>314</v>
      </c>
      <c r="B49" s="108">
        <v>41</v>
      </c>
      <c r="C49" s="137" t="s">
        <v>90</v>
      </c>
      <c r="D49" s="133">
        <f t="shared" si="0"/>
        <v>0</v>
      </c>
      <c r="E49" s="137" t="s">
        <v>90</v>
      </c>
      <c r="F49" s="133">
        <f t="shared" si="3"/>
        <v>0</v>
      </c>
      <c r="G49" s="137" t="s">
        <v>90</v>
      </c>
      <c r="H49" s="133">
        <f t="shared" si="2"/>
        <v>0</v>
      </c>
      <c r="N49" s="96" t="s">
        <v>87</v>
      </c>
    </row>
    <row r="50" spans="1:14" ht="15" x14ac:dyDescent="0.25">
      <c r="A50" s="311" t="s">
        <v>315</v>
      </c>
      <c r="B50" s="108">
        <v>42</v>
      </c>
      <c r="C50" s="144" t="s">
        <v>90</v>
      </c>
      <c r="D50" s="312"/>
      <c r="E50" s="226" t="str">
        <f>C50</f>
        <v>-</v>
      </c>
      <c r="F50" s="226">
        <f t="shared" si="3"/>
        <v>0</v>
      </c>
      <c r="G50" s="144" t="s">
        <v>90</v>
      </c>
      <c r="H50" s="226">
        <f t="shared" si="2"/>
        <v>0</v>
      </c>
      <c r="N50" s="96" t="s">
        <v>87</v>
      </c>
    </row>
    <row r="51" spans="1:14" ht="15" x14ac:dyDescent="0.25">
      <c r="A51" s="128" t="s">
        <v>316</v>
      </c>
      <c r="B51" s="108">
        <v>43</v>
      </c>
      <c r="C51" s="127">
        <f>SUM(C52:C62)</f>
        <v>0</v>
      </c>
      <c r="D51" s="127">
        <f t="shared" ref="D51:D90" si="4">SUM(C51)-SUM(E51)</f>
        <v>0</v>
      </c>
      <c r="E51" s="127">
        <f>SUM(E52:E62)</f>
        <v>0</v>
      </c>
      <c r="F51" s="127">
        <f t="shared" si="3"/>
        <v>0</v>
      </c>
      <c r="G51" s="127">
        <f>SUM(G52:G62)</f>
        <v>0</v>
      </c>
      <c r="H51" s="127">
        <f t="shared" si="2"/>
        <v>0</v>
      </c>
      <c r="N51" s="96" t="s">
        <v>87</v>
      </c>
    </row>
    <row r="52" spans="1:14" ht="14.25" x14ac:dyDescent="0.2">
      <c r="A52" s="272" t="s">
        <v>317</v>
      </c>
      <c r="B52" s="108">
        <v>44</v>
      </c>
      <c r="C52" s="137" t="s">
        <v>90</v>
      </c>
      <c r="D52" s="133">
        <f t="shared" si="4"/>
        <v>0</v>
      </c>
      <c r="E52" s="137" t="s">
        <v>90</v>
      </c>
      <c r="F52" s="133">
        <f t="shared" si="3"/>
        <v>0</v>
      </c>
      <c r="G52" s="137" t="s">
        <v>90</v>
      </c>
      <c r="H52" s="133">
        <f t="shared" si="2"/>
        <v>0</v>
      </c>
      <c r="N52" s="96" t="s">
        <v>87</v>
      </c>
    </row>
    <row r="53" spans="1:14" ht="14.25" x14ac:dyDescent="0.2">
      <c r="A53" s="272" t="s">
        <v>318</v>
      </c>
      <c r="B53" s="108">
        <v>45</v>
      </c>
      <c r="C53" s="137" t="s">
        <v>90</v>
      </c>
      <c r="D53" s="133">
        <f t="shared" si="4"/>
        <v>0</v>
      </c>
      <c r="E53" s="137" t="s">
        <v>90</v>
      </c>
      <c r="F53" s="133">
        <f t="shared" si="3"/>
        <v>0</v>
      </c>
      <c r="G53" s="137" t="s">
        <v>90</v>
      </c>
      <c r="H53" s="133">
        <f t="shared" si="2"/>
        <v>0</v>
      </c>
      <c r="N53" s="96" t="s">
        <v>87</v>
      </c>
    </row>
    <row r="54" spans="1:14" ht="14.25" x14ac:dyDescent="0.2">
      <c r="A54" s="272" t="s">
        <v>319</v>
      </c>
      <c r="B54" s="108">
        <v>46</v>
      </c>
      <c r="C54" s="137" t="s">
        <v>90</v>
      </c>
      <c r="D54" s="133">
        <f t="shared" si="4"/>
        <v>0</v>
      </c>
      <c r="E54" s="137" t="s">
        <v>90</v>
      </c>
      <c r="F54" s="133">
        <f t="shared" si="3"/>
        <v>0</v>
      </c>
      <c r="G54" s="137" t="s">
        <v>90</v>
      </c>
      <c r="H54" s="133">
        <f t="shared" si="2"/>
        <v>0</v>
      </c>
      <c r="N54" s="96" t="s">
        <v>87</v>
      </c>
    </row>
    <row r="55" spans="1:14" ht="14.25" x14ac:dyDescent="0.2">
      <c r="A55" s="272" t="s">
        <v>320</v>
      </c>
      <c r="B55" s="108">
        <v>47</v>
      </c>
      <c r="C55" s="137" t="s">
        <v>90</v>
      </c>
      <c r="D55" s="133">
        <f t="shared" si="4"/>
        <v>0</v>
      </c>
      <c r="E55" s="137" t="s">
        <v>90</v>
      </c>
      <c r="F55" s="133">
        <f t="shared" si="3"/>
        <v>0</v>
      </c>
      <c r="G55" s="137" t="s">
        <v>90</v>
      </c>
      <c r="H55" s="133">
        <f t="shared" si="2"/>
        <v>0</v>
      </c>
      <c r="N55" s="96" t="s">
        <v>87</v>
      </c>
    </row>
    <row r="56" spans="1:14" ht="14.25" x14ac:dyDescent="0.2">
      <c r="A56" s="272" t="s">
        <v>321</v>
      </c>
      <c r="B56" s="108">
        <v>48</v>
      </c>
      <c r="C56" s="137" t="s">
        <v>90</v>
      </c>
      <c r="D56" s="133">
        <f t="shared" si="4"/>
        <v>0</v>
      </c>
      <c r="E56" s="137" t="s">
        <v>90</v>
      </c>
      <c r="F56" s="133">
        <f t="shared" si="3"/>
        <v>0</v>
      </c>
      <c r="G56" s="137" t="s">
        <v>90</v>
      </c>
      <c r="H56" s="133">
        <f t="shared" si="2"/>
        <v>0</v>
      </c>
      <c r="N56" s="96" t="s">
        <v>87</v>
      </c>
    </row>
    <row r="57" spans="1:14" ht="14.25" x14ac:dyDescent="0.2">
      <c r="A57" s="272" t="s">
        <v>313</v>
      </c>
      <c r="B57" s="108">
        <v>49</v>
      </c>
      <c r="C57" s="137" t="s">
        <v>90</v>
      </c>
      <c r="D57" s="133">
        <f t="shared" si="4"/>
        <v>0</v>
      </c>
      <c r="E57" s="137" t="s">
        <v>90</v>
      </c>
      <c r="F57" s="133">
        <f t="shared" si="3"/>
        <v>0</v>
      </c>
      <c r="G57" s="137" t="s">
        <v>90</v>
      </c>
      <c r="H57" s="133">
        <f t="shared" si="2"/>
        <v>0</v>
      </c>
      <c r="N57" s="96" t="s">
        <v>87</v>
      </c>
    </row>
    <row r="58" spans="1:14" ht="14.25" x14ac:dyDescent="0.2">
      <c r="A58" s="272" t="s">
        <v>314</v>
      </c>
      <c r="B58" s="108">
        <v>50</v>
      </c>
      <c r="C58" s="137" t="s">
        <v>90</v>
      </c>
      <c r="D58" s="133">
        <f t="shared" si="4"/>
        <v>0</v>
      </c>
      <c r="E58" s="137" t="s">
        <v>90</v>
      </c>
      <c r="F58" s="133">
        <f t="shared" si="3"/>
        <v>0</v>
      </c>
      <c r="G58" s="137" t="s">
        <v>90</v>
      </c>
      <c r="H58" s="133">
        <f t="shared" si="2"/>
        <v>0</v>
      </c>
      <c r="N58" s="96" t="s">
        <v>87</v>
      </c>
    </row>
    <row r="59" spans="1:14" ht="14.25" x14ac:dyDescent="0.2">
      <c r="A59" s="272" t="s">
        <v>322</v>
      </c>
      <c r="B59" s="108">
        <v>51</v>
      </c>
      <c r="C59" s="137" t="s">
        <v>90</v>
      </c>
      <c r="D59" s="133">
        <f t="shared" si="4"/>
        <v>0</v>
      </c>
      <c r="E59" s="137" t="s">
        <v>90</v>
      </c>
      <c r="F59" s="133">
        <f t="shared" si="3"/>
        <v>0</v>
      </c>
      <c r="G59" s="137" t="s">
        <v>90</v>
      </c>
      <c r="H59" s="133">
        <f t="shared" si="2"/>
        <v>0</v>
      </c>
      <c r="N59" s="96" t="s">
        <v>87</v>
      </c>
    </row>
    <row r="60" spans="1:14" ht="14.25" x14ac:dyDescent="0.2">
      <c r="A60" s="272" t="s">
        <v>323</v>
      </c>
      <c r="B60" s="108">
        <v>52</v>
      </c>
      <c r="C60" s="137" t="s">
        <v>90</v>
      </c>
      <c r="D60" s="133">
        <f t="shared" si="4"/>
        <v>0</v>
      </c>
      <c r="E60" s="137" t="s">
        <v>90</v>
      </c>
      <c r="F60" s="133">
        <f t="shared" si="3"/>
        <v>0</v>
      </c>
      <c r="G60" s="137" t="s">
        <v>90</v>
      </c>
      <c r="H60" s="133">
        <f t="shared" si="2"/>
        <v>0</v>
      </c>
      <c r="N60" s="96" t="s">
        <v>87</v>
      </c>
    </row>
    <row r="61" spans="1:14" ht="14.25" x14ac:dyDescent="0.2">
      <c r="A61" s="272" t="s">
        <v>324</v>
      </c>
      <c r="B61" s="108">
        <v>53</v>
      </c>
      <c r="C61" s="137" t="s">
        <v>90</v>
      </c>
      <c r="D61" s="133">
        <f t="shared" si="4"/>
        <v>0</v>
      </c>
      <c r="E61" s="137" t="s">
        <v>90</v>
      </c>
      <c r="F61" s="133">
        <f t="shared" si="3"/>
        <v>0</v>
      </c>
      <c r="G61" s="137" t="s">
        <v>90</v>
      </c>
      <c r="H61" s="133">
        <f t="shared" si="2"/>
        <v>0</v>
      </c>
      <c r="N61" s="96" t="s">
        <v>87</v>
      </c>
    </row>
    <row r="62" spans="1:14" ht="14.25" x14ac:dyDescent="0.2">
      <c r="A62" s="273" t="s">
        <v>325</v>
      </c>
      <c r="B62" s="108">
        <v>54</v>
      </c>
      <c r="C62" s="139" t="s">
        <v>90</v>
      </c>
      <c r="D62" s="313">
        <f t="shared" si="4"/>
        <v>0</v>
      </c>
      <c r="E62" s="139" t="s">
        <v>90</v>
      </c>
      <c r="F62" s="313">
        <f t="shared" si="3"/>
        <v>0</v>
      </c>
      <c r="G62" s="139" t="s">
        <v>90</v>
      </c>
      <c r="H62" s="313">
        <f t="shared" si="2"/>
        <v>0</v>
      </c>
      <c r="N62" s="96" t="s">
        <v>87</v>
      </c>
    </row>
    <row r="63" spans="1:14" ht="15" x14ac:dyDescent="0.25">
      <c r="A63" s="128" t="s">
        <v>326</v>
      </c>
      <c r="B63" s="108">
        <v>55</v>
      </c>
      <c r="C63" s="127">
        <f>SUM(C64,C84,C85:C90)</f>
        <v>0</v>
      </c>
      <c r="D63" s="127">
        <f t="shared" si="4"/>
        <v>0</v>
      </c>
      <c r="E63" s="127">
        <f>SUM(E64,E84,E85:E90)</f>
        <v>0</v>
      </c>
      <c r="F63" s="127">
        <f t="shared" si="3"/>
        <v>0</v>
      </c>
      <c r="G63" s="127">
        <f>SUM(G64,G84,G85:G90)</f>
        <v>0</v>
      </c>
      <c r="H63" s="127">
        <f t="shared" ref="H63:H91" si="5">SUM(G63,$D63)</f>
        <v>0</v>
      </c>
      <c r="N63" s="96" t="s">
        <v>87</v>
      </c>
    </row>
    <row r="64" spans="1:14" ht="14.25" x14ac:dyDescent="0.2">
      <c r="A64" s="272" t="s">
        <v>327</v>
      </c>
      <c r="B64" s="108">
        <v>56</v>
      </c>
      <c r="C64" s="133">
        <f>SUM(C65,C75,C76,C77,C78,C79,C83)</f>
        <v>0</v>
      </c>
      <c r="D64" s="133">
        <f t="shared" si="4"/>
        <v>0</v>
      </c>
      <c r="E64" s="133">
        <f>SUM(E65,E75,E76,E77,E78,E79,E83)</f>
        <v>0</v>
      </c>
      <c r="F64" s="133">
        <f t="shared" si="3"/>
        <v>0</v>
      </c>
      <c r="G64" s="133">
        <f>SUM(G65,G75,G76,G77,G78,G79,G83)</f>
        <v>0</v>
      </c>
      <c r="H64" s="133">
        <f t="shared" si="5"/>
        <v>0</v>
      </c>
      <c r="N64" s="96" t="s">
        <v>87</v>
      </c>
    </row>
    <row r="65" spans="1:14" ht="14.25" x14ac:dyDescent="0.2">
      <c r="A65" s="270" t="s">
        <v>161</v>
      </c>
      <c r="B65" s="108">
        <v>57</v>
      </c>
      <c r="C65" s="133">
        <f>SUM(C66:C74)</f>
        <v>0</v>
      </c>
      <c r="D65" s="133">
        <f t="shared" si="4"/>
        <v>0</v>
      </c>
      <c r="E65" s="133">
        <f>SUM(E66:E74)</f>
        <v>0</v>
      </c>
      <c r="F65" s="133">
        <f t="shared" si="3"/>
        <v>0</v>
      </c>
      <c r="G65" s="133">
        <f>SUM(G66:G74)</f>
        <v>0</v>
      </c>
      <c r="H65" s="133">
        <f t="shared" si="5"/>
        <v>0</v>
      </c>
      <c r="N65" s="96" t="s">
        <v>87</v>
      </c>
    </row>
    <row r="66" spans="1:14" ht="14.25" x14ac:dyDescent="0.2">
      <c r="A66" s="314" t="s">
        <v>328</v>
      </c>
      <c r="B66" s="108">
        <v>58</v>
      </c>
      <c r="C66" s="137" t="s">
        <v>90</v>
      </c>
      <c r="D66" s="133">
        <f t="shared" si="4"/>
        <v>0</v>
      </c>
      <c r="E66" s="137" t="s">
        <v>90</v>
      </c>
      <c r="F66" s="133">
        <f t="shared" si="3"/>
        <v>0</v>
      </c>
      <c r="G66" s="137" t="s">
        <v>90</v>
      </c>
      <c r="H66" s="133">
        <f t="shared" si="5"/>
        <v>0</v>
      </c>
      <c r="N66" s="96" t="s">
        <v>87</v>
      </c>
    </row>
    <row r="67" spans="1:14" ht="14.25" x14ac:dyDescent="0.2">
      <c r="A67" s="314" t="s">
        <v>329</v>
      </c>
      <c r="B67" s="108">
        <v>59</v>
      </c>
      <c r="C67" s="137" t="s">
        <v>90</v>
      </c>
      <c r="D67" s="133">
        <f t="shared" si="4"/>
        <v>0</v>
      </c>
      <c r="E67" s="137" t="s">
        <v>90</v>
      </c>
      <c r="F67" s="133">
        <f t="shared" si="3"/>
        <v>0</v>
      </c>
      <c r="G67" s="137" t="s">
        <v>90</v>
      </c>
      <c r="H67" s="133">
        <f t="shared" si="5"/>
        <v>0</v>
      </c>
      <c r="N67" s="96" t="s">
        <v>87</v>
      </c>
    </row>
    <row r="68" spans="1:14" ht="14.25" x14ac:dyDescent="0.2">
      <c r="A68" s="314" t="s">
        <v>330</v>
      </c>
      <c r="B68" s="108">
        <v>60</v>
      </c>
      <c r="C68" s="137" t="s">
        <v>90</v>
      </c>
      <c r="D68" s="133">
        <f t="shared" si="4"/>
        <v>0</v>
      </c>
      <c r="E68" s="137" t="s">
        <v>90</v>
      </c>
      <c r="F68" s="133">
        <f t="shared" si="3"/>
        <v>0</v>
      </c>
      <c r="G68" s="137" t="s">
        <v>90</v>
      </c>
      <c r="H68" s="133">
        <f t="shared" si="5"/>
        <v>0</v>
      </c>
      <c r="N68" s="96" t="s">
        <v>87</v>
      </c>
    </row>
    <row r="69" spans="1:14" ht="14.25" x14ac:dyDescent="0.2">
      <c r="A69" s="314" t="s">
        <v>331</v>
      </c>
      <c r="B69" s="108">
        <v>61</v>
      </c>
      <c r="C69" s="137" t="s">
        <v>90</v>
      </c>
      <c r="D69" s="133">
        <f t="shared" si="4"/>
        <v>0</v>
      </c>
      <c r="E69" s="137" t="s">
        <v>90</v>
      </c>
      <c r="F69" s="133">
        <f t="shared" si="3"/>
        <v>0</v>
      </c>
      <c r="G69" s="137" t="s">
        <v>90</v>
      </c>
      <c r="H69" s="133">
        <f t="shared" si="5"/>
        <v>0</v>
      </c>
      <c r="N69" s="96" t="s">
        <v>87</v>
      </c>
    </row>
    <row r="70" spans="1:14" ht="14.25" x14ac:dyDescent="0.2">
      <c r="A70" s="314" t="s">
        <v>332</v>
      </c>
      <c r="B70" s="108">
        <v>62</v>
      </c>
      <c r="C70" s="137" t="s">
        <v>90</v>
      </c>
      <c r="D70" s="133">
        <f t="shared" si="4"/>
        <v>0</v>
      </c>
      <c r="E70" s="137" t="s">
        <v>90</v>
      </c>
      <c r="F70" s="133">
        <f t="shared" si="3"/>
        <v>0</v>
      </c>
      <c r="G70" s="137" t="s">
        <v>90</v>
      </c>
      <c r="H70" s="133">
        <f t="shared" si="5"/>
        <v>0</v>
      </c>
      <c r="N70" s="96" t="s">
        <v>87</v>
      </c>
    </row>
    <row r="71" spans="1:14" ht="14.25" x14ac:dyDescent="0.2">
      <c r="A71" s="314" t="s">
        <v>333</v>
      </c>
      <c r="B71" s="108">
        <v>63</v>
      </c>
      <c r="C71" s="137" t="s">
        <v>90</v>
      </c>
      <c r="D71" s="133">
        <f t="shared" si="4"/>
        <v>0</v>
      </c>
      <c r="E71" s="137" t="s">
        <v>90</v>
      </c>
      <c r="F71" s="133">
        <f t="shared" si="3"/>
        <v>0</v>
      </c>
      <c r="G71" s="137" t="s">
        <v>90</v>
      </c>
      <c r="H71" s="133">
        <f t="shared" si="5"/>
        <v>0</v>
      </c>
      <c r="N71" s="96" t="s">
        <v>87</v>
      </c>
    </row>
    <row r="72" spans="1:14" ht="14.25" x14ac:dyDescent="0.2">
      <c r="A72" s="314" t="s">
        <v>334</v>
      </c>
      <c r="B72" s="108">
        <v>64</v>
      </c>
      <c r="C72" s="137" t="s">
        <v>90</v>
      </c>
      <c r="D72" s="133">
        <f t="shared" si="4"/>
        <v>0</v>
      </c>
      <c r="E72" s="137" t="s">
        <v>90</v>
      </c>
      <c r="F72" s="133">
        <f t="shared" si="3"/>
        <v>0</v>
      </c>
      <c r="G72" s="137" t="s">
        <v>90</v>
      </c>
      <c r="H72" s="133">
        <f t="shared" si="5"/>
        <v>0</v>
      </c>
      <c r="N72" s="96" t="s">
        <v>87</v>
      </c>
    </row>
    <row r="73" spans="1:14" ht="14.25" x14ac:dyDescent="0.2">
      <c r="A73" s="315" t="s">
        <v>335</v>
      </c>
      <c r="B73" s="108">
        <v>65</v>
      </c>
      <c r="C73" s="137" t="s">
        <v>90</v>
      </c>
      <c r="D73" s="133">
        <f t="shared" si="4"/>
        <v>0</v>
      </c>
      <c r="E73" s="137" t="s">
        <v>90</v>
      </c>
      <c r="F73" s="133">
        <f t="shared" si="3"/>
        <v>0</v>
      </c>
      <c r="G73" s="137" t="s">
        <v>90</v>
      </c>
      <c r="H73" s="133">
        <f t="shared" si="5"/>
        <v>0</v>
      </c>
      <c r="N73" s="96" t="s">
        <v>87</v>
      </c>
    </row>
    <row r="74" spans="1:14" ht="14.25" x14ac:dyDescent="0.2">
      <c r="A74" s="315" t="s">
        <v>336</v>
      </c>
      <c r="B74" s="108">
        <v>66</v>
      </c>
      <c r="C74" s="137" t="s">
        <v>90</v>
      </c>
      <c r="D74" s="133">
        <f t="shared" si="4"/>
        <v>0</v>
      </c>
      <c r="E74" s="137" t="s">
        <v>90</v>
      </c>
      <c r="F74" s="133">
        <f t="shared" si="3"/>
        <v>0</v>
      </c>
      <c r="G74" s="137" t="s">
        <v>90</v>
      </c>
      <c r="H74" s="133">
        <f t="shared" si="5"/>
        <v>0</v>
      </c>
      <c r="N74" s="96" t="s">
        <v>87</v>
      </c>
    </row>
    <row r="75" spans="1:14" ht="14.25" x14ac:dyDescent="0.2">
      <c r="A75" s="270" t="s">
        <v>337</v>
      </c>
      <c r="B75" s="108">
        <v>67</v>
      </c>
      <c r="C75" s="137" t="s">
        <v>90</v>
      </c>
      <c r="D75" s="133">
        <f t="shared" si="4"/>
        <v>0</v>
      </c>
      <c r="E75" s="137" t="s">
        <v>90</v>
      </c>
      <c r="F75" s="133">
        <f t="shared" ref="F75:F90" si="6">SUM(E75)-SUM(G75)</f>
        <v>0</v>
      </c>
      <c r="G75" s="137" t="s">
        <v>90</v>
      </c>
      <c r="H75" s="133">
        <f t="shared" si="5"/>
        <v>0</v>
      </c>
      <c r="N75" s="96" t="s">
        <v>87</v>
      </c>
    </row>
    <row r="76" spans="1:14" ht="14.25" x14ac:dyDescent="0.2">
      <c r="A76" s="270" t="s">
        <v>338</v>
      </c>
      <c r="B76" s="108">
        <v>68</v>
      </c>
      <c r="C76" s="137" t="s">
        <v>90</v>
      </c>
      <c r="D76" s="133">
        <f t="shared" si="4"/>
        <v>0</v>
      </c>
      <c r="E76" s="137" t="s">
        <v>90</v>
      </c>
      <c r="F76" s="133">
        <f t="shared" si="6"/>
        <v>0</v>
      </c>
      <c r="G76" s="137" t="s">
        <v>90</v>
      </c>
      <c r="H76" s="133">
        <f t="shared" si="5"/>
        <v>0</v>
      </c>
      <c r="N76" s="96" t="s">
        <v>87</v>
      </c>
    </row>
    <row r="77" spans="1:14" ht="14.25" x14ac:dyDescent="0.2">
      <c r="A77" s="270" t="s">
        <v>339</v>
      </c>
      <c r="B77" s="108">
        <v>69</v>
      </c>
      <c r="C77" s="137" t="s">
        <v>90</v>
      </c>
      <c r="D77" s="133">
        <f t="shared" si="4"/>
        <v>0</v>
      </c>
      <c r="E77" s="137" t="s">
        <v>90</v>
      </c>
      <c r="F77" s="133">
        <f t="shared" si="6"/>
        <v>0</v>
      </c>
      <c r="G77" s="137" t="s">
        <v>90</v>
      </c>
      <c r="H77" s="133">
        <f t="shared" si="5"/>
        <v>0</v>
      </c>
      <c r="N77" s="96" t="s">
        <v>87</v>
      </c>
    </row>
    <row r="78" spans="1:14" ht="14.25" x14ac:dyDescent="0.2">
      <c r="A78" s="270" t="s">
        <v>159</v>
      </c>
      <c r="B78" s="108">
        <v>70</v>
      </c>
      <c r="C78" s="137" t="s">
        <v>90</v>
      </c>
      <c r="D78" s="133">
        <f t="shared" si="4"/>
        <v>0</v>
      </c>
      <c r="E78" s="137" t="s">
        <v>90</v>
      </c>
      <c r="F78" s="133">
        <f t="shared" si="6"/>
        <v>0</v>
      </c>
      <c r="G78" s="137" t="s">
        <v>90</v>
      </c>
      <c r="H78" s="133">
        <f t="shared" si="5"/>
        <v>0</v>
      </c>
      <c r="N78" s="96" t="s">
        <v>87</v>
      </c>
    </row>
    <row r="79" spans="1:14" ht="14.25" x14ac:dyDescent="0.2">
      <c r="A79" s="270" t="s">
        <v>340</v>
      </c>
      <c r="B79" s="108">
        <v>71</v>
      </c>
      <c r="C79" s="133">
        <f>SUM(C80:C82)</f>
        <v>0</v>
      </c>
      <c r="D79" s="133">
        <f t="shared" si="4"/>
        <v>0</v>
      </c>
      <c r="E79" s="133">
        <f>SUM(E80:E82)</f>
        <v>0</v>
      </c>
      <c r="F79" s="133">
        <f t="shared" si="6"/>
        <v>0</v>
      </c>
      <c r="G79" s="133">
        <f>SUM(G80:G82)</f>
        <v>0</v>
      </c>
      <c r="H79" s="133">
        <f t="shared" si="5"/>
        <v>0</v>
      </c>
      <c r="N79" s="96" t="s">
        <v>87</v>
      </c>
    </row>
    <row r="80" spans="1:14" ht="14.25" x14ac:dyDescent="0.2">
      <c r="A80" s="314" t="s">
        <v>341</v>
      </c>
      <c r="B80" s="108">
        <v>72</v>
      </c>
      <c r="C80" s="137" t="s">
        <v>90</v>
      </c>
      <c r="D80" s="133">
        <f t="shared" si="4"/>
        <v>0</v>
      </c>
      <c r="E80" s="137" t="s">
        <v>90</v>
      </c>
      <c r="F80" s="133">
        <f t="shared" si="6"/>
        <v>0</v>
      </c>
      <c r="G80" s="137" t="s">
        <v>90</v>
      </c>
      <c r="H80" s="133">
        <f t="shared" si="5"/>
        <v>0</v>
      </c>
      <c r="N80" s="96" t="s">
        <v>87</v>
      </c>
    </row>
    <row r="81" spans="1:14" ht="14.25" x14ac:dyDescent="0.2">
      <c r="A81" s="314" t="s">
        <v>342</v>
      </c>
      <c r="B81" s="108">
        <v>73</v>
      </c>
      <c r="C81" s="137" t="s">
        <v>90</v>
      </c>
      <c r="D81" s="133">
        <f t="shared" si="4"/>
        <v>0</v>
      </c>
      <c r="E81" s="137" t="s">
        <v>90</v>
      </c>
      <c r="F81" s="133">
        <f t="shared" si="6"/>
        <v>0</v>
      </c>
      <c r="G81" s="137" t="s">
        <v>90</v>
      </c>
      <c r="H81" s="133">
        <f t="shared" si="5"/>
        <v>0</v>
      </c>
      <c r="N81" s="96" t="s">
        <v>87</v>
      </c>
    </row>
    <row r="82" spans="1:14" ht="14.25" x14ac:dyDescent="0.2">
      <c r="A82" s="314" t="s">
        <v>343</v>
      </c>
      <c r="B82" s="108">
        <v>74</v>
      </c>
      <c r="C82" s="137" t="s">
        <v>90</v>
      </c>
      <c r="D82" s="133">
        <f t="shared" si="4"/>
        <v>0</v>
      </c>
      <c r="E82" s="137" t="s">
        <v>90</v>
      </c>
      <c r="F82" s="133">
        <f t="shared" si="6"/>
        <v>0</v>
      </c>
      <c r="G82" s="137" t="s">
        <v>90</v>
      </c>
      <c r="H82" s="133">
        <f t="shared" si="5"/>
        <v>0</v>
      </c>
      <c r="N82" s="96" t="s">
        <v>87</v>
      </c>
    </row>
    <row r="83" spans="1:14" ht="14.25" x14ac:dyDescent="0.2">
      <c r="A83" s="270" t="s">
        <v>344</v>
      </c>
      <c r="B83" s="108">
        <v>75</v>
      </c>
      <c r="C83" s="137" t="s">
        <v>90</v>
      </c>
      <c r="D83" s="133">
        <f t="shared" si="4"/>
        <v>0</v>
      </c>
      <c r="E83" s="137" t="s">
        <v>90</v>
      </c>
      <c r="F83" s="133">
        <f t="shared" si="6"/>
        <v>0</v>
      </c>
      <c r="G83" s="137" t="s">
        <v>90</v>
      </c>
      <c r="H83" s="133">
        <f t="shared" si="5"/>
        <v>0</v>
      </c>
      <c r="N83" s="96" t="s">
        <v>87</v>
      </c>
    </row>
    <row r="84" spans="1:14" ht="14.25" x14ac:dyDescent="0.2">
      <c r="A84" s="272" t="s">
        <v>345</v>
      </c>
      <c r="B84" s="108">
        <v>76</v>
      </c>
      <c r="C84" s="137" t="s">
        <v>90</v>
      </c>
      <c r="D84" s="133">
        <f t="shared" si="4"/>
        <v>0</v>
      </c>
      <c r="E84" s="137" t="s">
        <v>90</v>
      </c>
      <c r="F84" s="133">
        <f t="shared" si="6"/>
        <v>0</v>
      </c>
      <c r="G84" s="137" t="s">
        <v>90</v>
      </c>
      <c r="H84" s="133">
        <f t="shared" si="5"/>
        <v>0</v>
      </c>
      <c r="N84" s="96" t="s">
        <v>87</v>
      </c>
    </row>
    <row r="85" spans="1:14" ht="14.25" x14ac:dyDescent="0.2">
      <c r="A85" s="272" t="s">
        <v>160</v>
      </c>
      <c r="B85" s="108">
        <v>77</v>
      </c>
      <c r="C85" s="137" t="s">
        <v>90</v>
      </c>
      <c r="D85" s="133">
        <f t="shared" si="4"/>
        <v>0</v>
      </c>
      <c r="E85" s="137" t="s">
        <v>90</v>
      </c>
      <c r="F85" s="133">
        <f t="shared" si="6"/>
        <v>0</v>
      </c>
      <c r="G85" s="137" t="s">
        <v>90</v>
      </c>
      <c r="H85" s="133">
        <f t="shared" si="5"/>
        <v>0</v>
      </c>
      <c r="N85" s="96" t="s">
        <v>87</v>
      </c>
    </row>
    <row r="86" spans="1:14" ht="14.25" x14ac:dyDescent="0.2">
      <c r="A86" s="272" t="s">
        <v>346</v>
      </c>
      <c r="B86" s="108">
        <v>78</v>
      </c>
      <c r="C86" s="137" t="s">
        <v>90</v>
      </c>
      <c r="D86" s="133">
        <f t="shared" si="4"/>
        <v>0</v>
      </c>
      <c r="E86" s="137" t="s">
        <v>90</v>
      </c>
      <c r="F86" s="133">
        <f t="shared" si="6"/>
        <v>0</v>
      </c>
      <c r="G86" s="137" t="s">
        <v>90</v>
      </c>
      <c r="H86" s="133">
        <f t="shared" si="5"/>
        <v>0</v>
      </c>
      <c r="N86" s="96" t="s">
        <v>87</v>
      </c>
    </row>
    <row r="87" spans="1:14" ht="14.25" x14ac:dyDescent="0.2">
      <c r="A87" s="272" t="s">
        <v>347</v>
      </c>
      <c r="B87" s="108">
        <v>79</v>
      </c>
      <c r="C87" s="137" t="s">
        <v>90</v>
      </c>
      <c r="D87" s="133">
        <f t="shared" si="4"/>
        <v>0</v>
      </c>
      <c r="E87" s="137" t="s">
        <v>90</v>
      </c>
      <c r="F87" s="133">
        <f t="shared" si="6"/>
        <v>0</v>
      </c>
      <c r="G87" s="137" t="s">
        <v>90</v>
      </c>
      <c r="H87" s="133">
        <f t="shared" si="5"/>
        <v>0</v>
      </c>
      <c r="N87" s="96" t="s">
        <v>87</v>
      </c>
    </row>
    <row r="88" spans="1:14" ht="14.25" x14ac:dyDescent="0.2">
      <c r="A88" s="272" t="s">
        <v>348</v>
      </c>
      <c r="B88" s="108">
        <v>80</v>
      </c>
      <c r="C88" s="137" t="s">
        <v>90</v>
      </c>
      <c r="D88" s="133">
        <f t="shared" si="4"/>
        <v>0</v>
      </c>
      <c r="E88" s="137" t="s">
        <v>90</v>
      </c>
      <c r="F88" s="133">
        <f t="shared" si="6"/>
        <v>0</v>
      </c>
      <c r="G88" s="137" t="s">
        <v>90</v>
      </c>
      <c r="H88" s="133">
        <f t="shared" si="5"/>
        <v>0</v>
      </c>
      <c r="N88" s="96" t="s">
        <v>87</v>
      </c>
    </row>
    <row r="89" spans="1:14" ht="14.25" x14ac:dyDescent="0.2">
      <c r="A89" s="272" t="s">
        <v>349</v>
      </c>
      <c r="B89" s="108">
        <v>81</v>
      </c>
      <c r="C89" s="137" t="s">
        <v>90</v>
      </c>
      <c r="D89" s="133">
        <f t="shared" si="4"/>
        <v>0</v>
      </c>
      <c r="E89" s="137" t="s">
        <v>90</v>
      </c>
      <c r="F89" s="133">
        <f t="shared" si="6"/>
        <v>0</v>
      </c>
      <c r="G89" s="137" t="s">
        <v>90</v>
      </c>
      <c r="H89" s="133">
        <f t="shared" si="5"/>
        <v>0</v>
      </c>
      <c r="N89" s="96" t="s">
        <v>87</v>
      </c>
    </row>
    <row r="90" spans="1:14" ht="14.25" x14ac:dyDescent="0.2">
      <c r="A90" s="273" t="s">
        <v>350</v>
      </c>
      <c r="B90" s="108">
        <v>82</v>
      </c>
      <c r="C90" s="139" t="s">
        <v>90</v>
      </c>
      <c r="D90" s="313">
        <f t="shared" si="4"/>
        <v>0</v>
      </c>
      <c r="E90" s="139" t="s">
        <v>90</v>
      </c>
      <c r="F90" s="313">
        <f t="shared" si="6"/>
        <v>0</v>
      </c>
      <c r="G90" s="139" t="s">
        <v>90</v>
      </c>
      <c r="H90" s="313">
        <f t="shared" si="5"/>
        <v>0</v>
      </c>
      <c r="N90" s="96" t="s">
        <v>87</v>
      </c>
    </row>
    <row r="91" spans="1:14" ht="15" x14ac:dyDescent="0.25">
      <c r="A91" s="311" t="s">
        <v>351</v>
      </c>
      <c r="B91" s="108">
        <v>83</v>
      </c>
      <c r="C91" s="130"/>
      <c r="D91" s="130"/>
      <c r="E91" s="130"/>
      <c r="F91" s="133">
        <f>-(SUM(E50)-SUM(E35)-(SUM(G50)-SUM(G35)))</f>
        <v>0</v>
      </c>
      <c r="G91" s="133">
        <f>SUM(E50)-SUM(E35)-(SUM(G50)-SUM(G35))</f>
        <v>0</v>
      </c>
      <c r="H91" s="133">
        <f t="shared" si="5"/>
        <v>0</v>
      </c>
      <c r="N91" s="96" t="s">
        <v>87</v>
      </c>
    </row>
    <row r="92" spans="1:14" ht="14.25" x14ac:dyDescent="0.2">
      <c r="A92" s="316" t="s">
        <v>352</v>
      </c>
      <c r="B92" s="108">
        <v>84</v>
      </c>
      <c r="C92" s="226">
        <f t="shared" ref="C92:H92" si="7">SUM(C9)-SUM(C50,C51,C63,C91)</f>
        <v>0</v>
      </c>
      <c r="D92" s="226">
        <f t="shared" si="7"/>
        <v>0</v>
      </c>
      <c r="E92" s="226">
        <f t="shared" si="7"/>
        <v>0</v>
      </c>
      <c r="F92" s="226">
        <f t="shared" si="7"/>
        <v>0</v>
      </c>
      <c r="G92" s="226">
        <f t="shared" si="7"/>
        <v>0</v>
      </c>
      <c r="H92" s="226">
        <f t="shared" si="7"/>
        <v>0</v>
      </c>
      <c r="N92" s="96" t="s">
        <v>87</v>
      </c>
    </row>
    <row r="93" spans="1:14" ht="15" x14ac:dyDescent="0.25">
      <c r="A93" s="311" t="s">
        <v>353</v>
      </c>
      <c r="B93" s="119">
        <v>85</v>
      </c>
      <c r="C93" s="226">
        <f t="shared" ref="C93:H93" si="8">SUM(C9)-SUM(C50,C51)</f>
        <v>0</v>
      </c>
      <c r="D93" s="226">
        <f t="shared" si="8"/>
        <v>0</v>
      </c>
      <c r="E93" s="226">
        <f t="shared" si="8"/>
        <v>0</v>
      </c>
      <c r="F93" s="226">
        <f t="shared" si="8"/>
        <v>0</v>
      </c>
      <c r="G93" s="226">
        <f t="shared" si="8"/>
        <v>0</v>
      </c>
      <c r="H93" s="313">
        <f t="shared" si="8"/>
        <v>0</v>
      </c>
      <c r="N93" s="96" t="s">
        <v>87</v>
      </c>
    </row>
    <row r="94" spans="1:14" ht="14.25" x14ac:dyDescent="0.2">
      <c r="F94" s="148"/>
      <c r="G94" s="276"/>
      <c r="H94" s="148"/>
      <c r="N94" s="96" t="s">
        <v>87</v>
      </c>
    </row>
    <row r="95" spans="1:14" ht="15" x14ac:dyDescent="0.2">
      <c r="A95" s="305" t="s">
        <v>354</v>
      </c>
      <c r="B95" s="124">
        <v>13</v>
      </c>
      <c r="C95" s="105"/>
      <c r="D95" s="106">
        <v>2</v>
      </c>
      <c r="F95" s="148"/>
      <c r="G95" s="276"/>
      <c r="H95" s="148"/>
      <c r="N95" s="96" t="s">
        <v>87</v>
      </c>
    </row>
    <row r="96" spans="1:14" ht="14.25" x14ac:dyDescent="0.2">
      <c r="A96" s="317" t="s">
        <v>355</v>
      </c>
      <c r="B96" s="223">
        <v>1</v>
      </c>
      <c r="C96" s="225"/>
      <c r="D96" s="282">
        <f>D9</f>
        <v>0</v>
      </c>
      <c r="F96" s="148"/>
      <c r="G96" s="276"/>
      <c r="H96" s="148"/>
      <c r="N96" s="96" t="s">
        <v>87</v>
      </c>
    </row>
    <row r="97" spans="1:14" ht="14.25" x14ac:dyDescent="0.2">
      <c r="A97" s="318" t="s">
        <v>356</v>
      </c>
      <c r="B97" s="223"/>
      <c r="C97" s="230"/>
      <c r="D97" s="289"/>
      <c r="F97" s="148"/>
      <c r="G97" s="276"/>
      <c r="H97" s="148"/>
      <c r="N97" s="96" t="s">
        <v>87</v>
      </c>
    </row>
    <row r="98" spans="1:14" ht="14.25" x14ac:dyDescent="0.2">
      <c r="A98" s="319" t="s">
        <v>357</v>
      </c>
      <c r="B98" s="223">
        <v>2</v>
      </c>
      <c r="C98" s="145"/>
      <c r="D98" s="137" t="s">
        <v>90</v>
      </c>
      <c r="F98" s="148"/>
      <c r="G98" s="276"/>
      <c r="H98" s="148"/>
      <c r="N98" s="96" t="s">
        <v>87</v>
      </c>
    </row>
    <row r="99" spans="1:14" ht="14.25" x14ac:dyDescent="0.2">
      <c r="A99" s="320" t="s">
        <v>358</v>
      </c>
      <c r="B99" s="223">
        <v>3</v>
      </c>
      <c r="C99" s="145"/>
      <c r="D99" s="137" t="s">
        <v>90</v>
      </c>
      <c r="F99" s="148"/>
      <c r="G99" s="276"/>
      <c r="H99" s="148"/>
      <c r="N99" s="96" t="s">
        <v>87</v>
      </c>
    </row>
    <row r="100" spans="1:14" ht="14.25" x14ac:dyDescent="0.2">
      <c r="A100" s="320" t="s">
        <v>359</v>
      </c>
      <c r="B100" s="223">
        <v>4</v>
      </c>
      <c r="C100" s="145"/>
      <c r="D100" s="137" t="s">
        <v>90</v>
      </c>
      <c r="F100" s="148"/>
      <c r="G100" s="276"/>
      <c r="H100" s="148"/>
      <c r="N100" s="96" t="s">
        <v>87</v>
      </c>
    </row>
    <row r="101" spans="1:14" ht="14.25" x14ac:dyDescent="0.2">
      <c r="A101" s="320" t="s">
        <v>360</v>
      </c>
      <c r="B101" s="223">
        <v>5</v>
      </c>
      <c r="C101" s="145"/>
      <c r="D101" s="137" t="s">
        <v>90</v>
      </c>
      <c r="F101" s="148"/>
      <c r="G101" s="276"/>
      <c r="H101" s="148"/>
      <c r="N101" s="96" t="s">
        <v>87</v>
      </c>
    </row>
    <row r="102" spans="1:14" ht="14.25" x14ac:dyDescent="0.2">
      <c r="A102" s="321" t="s">
        <v>361</v>
      </c>
      <c r="B102" s="322">
        <v>6</v>
      </c>
      <c r="C102" s="323"/>
      <c r="D102" s="313">
        <f>D96-SUM(D98:D101)</f>
        <v>0</v>
      </c>
      <c r="F102" s="148"/>
      <c r="G102" s="276"/>
      <c r="H102" s="148"/>
      <c r="N102" s="96" t="s">
        <v>87</v>
      </c>
    </row>
    <row r="103" spans="1:14" ht="14.25" x14ac:dyDescent="0.2">
      <c r="F103" s="148"/>
      <c r="G103" s="276"/>
      <c r="H103" s="148"/>
      <c r="N103" s="96" t="s">
        <v>87</v>
      </c>
    </row>
    <row r="104" spans="1:14" ht="15" x14ac:dyDescent="0.25">
      <c r="A104" s="324" t="s">
        <v>362</v>
      </c>
      <c r="B104" s="218"/>
      <c r="C104" s="218"/>
      <c r="D104" s="218"/>
      <c r="E104" s="218"/>
      <c r="F104" s="218"/>
      <c r="G104" s="218"/>
      <c r="H104" s="218"/>
      <c r="I104" s="218"/>
      <c r="J104" s="218"/>
      <c r="K104" s="218"/>
      <c r="L104" s="325"/>
      <c r="N104" s="96" t="s">
        <v>87</v>
      </c>
    </row>
    <row r="105" spans="1:14" ht="14.25" x14ac:dyDescent="0.2">
      <c r="A105" s="326"/>
      <c r="B105" s="327"/>
      <c r="C105" s="328" t="s">
        <v>363</v>
      </c>
      <c r="D105" s="329"/>
      <c r="E105" s="330"/>
      <c r="F105" s="328" t="s">
        <v>364</v>
      </c>
      <c r="G105" s="331"/>
      <c r="H105" s="328" t="s">
        <v>365</v>
      </c>
      <c r="I105" s="331"/>
      <c r="J105" s="332" t="s">
        <v>366</v>
      </c>
      <c r="K105" s="333"/>
      <c r="L105" s="334"/>
      <c r="N105" s="96" t="s">
        <v>87</v>
      </c>
    </row>
    <row r="106" spans="1:14" ht="51" x14ac:dyDescent="0.2">
      <c r="A106" s="335" t="s">
        <v>367</v>
      </c>
      <c r="B106" s="336"/>
      <c r="C106" s="337" t="s">
        <v>293</v>
      </c>
      <c r="D106" s="338" t="s">
        <v>297</v>
      </c>
      <c r="E106" s="339" t="s">
        <v>294</v>
      </c>
      <c r="F106" s="340" t="s">
        <v>368</v>
      </c>
      <c r="G106" s="341" t="s">
        <v>369</v>
      </c>
      <c r="H106" s="340" t="s">
        <v>368</v>
      </c>
      <c r="I106" s="341" t="s">
        <v>369</v>
      </c>
      <c r="J106" s="340" t="s">
        <v>368</v>
      </c>
      <c r="K106" s="341" t="s">
        <v>369</v>
      </c>
      <c r="L106" s="342" t="s">
        <v>370</v>
      </c>
      <c r="N106" s="96" t="s">
        <v>87</v>
      </c>
    </row>
    <row r="107" spans="1:14" ht="14.25" x14ac:dyDescent="0.2">
      <c r="A107" s="150"/>
      <c r="B107" s="124">
        <v>14</v>
      </c>
      <c r="C107" s="105">
        <v>1</v>
      </c>
      <c r="D107" s="105">
        <v>2</v>
      </c>
      <c r="E107" s="105">
        <v>3</v>
      </c>
      <c r="F107" s="279">
        <v>4</v>
      </c>
      <c r="G107" s="279">
        <v>5</v>
      </c>
      <c r="H107" s="279">
        <v>6</v>
      </c>
      <c r="I107" s="279">
        <v>7</v>
      </c>
      <c r="J107" s="279">
        <v>8</v>
      </c>
      <c r="K107" s="279">
        <v>9</v>
      </c>
      <c r="L107" s="343">
        <v>10</v>
      </c>
      <c r="N107" s="96" t="s">
        <v>87</v>
      </c>
    </row>
    <row r="108" spans="1:14" ht="14.25" x14ac:dyDescent="0.2">
      <c r="A108" s="280" t="s">
        <v>260</v>
      </c>
      <c r="B108" s="169">
        <v>1</v>
      </c>
      <c r="C108" s="127">
        <f>SUM(C109,C125)</f>
        <v>0</v>
      </c>
      <c r="D108" s="127">
        <f t="shared" ref="D108:D142" si="9">SUM(C108)-SUM(E108)</f>
        <v>0</v>
      </c>
      <c r="E108" s="127">
        <f t="shared" ref="E108:E142" si="10">SUM(F108:G108)</f>
        <v>0</v>
      </c>
      <c r="F108" s="282">
        <f t="shared" ref="F108:K108" si="11">SUM(F109,F125)</f>
        <v>0</v>
      </c>
      <c r="G108" s="282">
        <f t="shared" si="11"/>
        <v>0</v>
      </c>
      <c r="H108" s="282">
        <f t="shared" si="11"/>
        <v>0</v>
      </c>
      <c r="I108" s="282">
        <f t="shared" si="11"/>
        <v>0</v>
      </c>
      <c r="J108" s="282">
        <f t="shared" si="11"/>
        <v>0</v>
      </c>
      <c r="K108" s="282">
        <f t="shared" si="11"/>
        <v>0</v>
      </c>
      <c r="L108" s="282">
        <f t="shared" ref="L108:L142" si="12">SUM(J108:K108)</f>
        <v>0</v>
      </c>
      <c r="N108" s="96" t="s">
        <v>87</v>
      </c>
    </row>
    <row r="109" spans="1:14" ht="14.25" x14ac:dyDescent="0.2">
      <c r="A109" s="283" t="s">
        <v>261</v>
      </c>
      <c r="B109" s="169">
        <v>2</v>
      </c>
      <c r="C109" s="133">
        <f>SUM(C110,C118)</f>
        <v>0</v>
      </c>
      <c r="D109" s="133">
        <f t="shared" si="9"/>
        <v>0</v>
      </c>
      <c r="E109" s="133">
        <f t="shared" si="10"/>
        <v>0</v>
      </c>
      <c r="F109" s="310"/>
      <c r="G109" s="285">
        <f t="shared" ref="G109:K109" si="13">SUM(G110,G118)</f>
        <v>0</v>
      </c>
      <c r="H109" s="310"/>
      <c r="I109" s="285">
        <f t="shared" si="13"/>
        <v>0</v>
      </c>
      <c r="J109" s="310"/>
      <c r="K109" s="285">
        <f t="shared" si="13"/>
        <v>0</v>
      </c>
      <c r="L109" s="285">
        <f t="shared" si="12"/>
        <v>0</v>
      </c>
      <c r="N109" s="96" t="s">
        <v>87</v>
      </c>
    </row>
    <row r="110" spans="1:14" ht="14.25" x14ac:dyDescent="0.2">
      <c r="A110" s="286" t="s">
        <v>262</v>
      </c>
      <c r="B110" s="169">
        <v>3</v>
      </c>
      <c r="C110" s="133">
        <f>SUM(C111:C117)</f>
        <v>0</v>
      </c>
      <c r="D110" s="133">
        <f t="shared" si="9"/>
        <v>0</v>
      </c>
      <c r="E110" s="133">
        <f t="shared" si="10"/>
        <v>0</v>
      </c>
      <c r="F110" s="310"/>
      <c r="G110" s="285">
        <f t="shared" ref="G110:K110" si="14">SUM(G111:G117)</f>
        <v>0</v>
      </c>
      <c r="H110" s="310"/>
      <c r="I110" s="285">
        <f t="shared" si="14"/>
        <v>0</v>
      </c>
      <c r="J110" s="310"/>
      <c r="K110" s="285">
        <f t="shared" si="14"/>
        <v>0</v>
      </c>
      <c r="L110" s="285">
        <f t="shared" si="12"/>
        <v>0</v>
      </c>
      <c r="N110" s="96" t="s">
        <v>87</v>
      </c>
    </row>
    <row r="111" spans="1:14" ht="14.25" x14ac:dyDescent="0.2">
      <c r="A111" s="287" t="s">
        <v>263</v>
      </c>
      <c r="B111" s="169">
        <v>4</v>
      </c>
      <c r="C111" s="137" t="s">
        <v>90</v>
      </c>
      <c r="D111" s="133">
        <f t="shared" si="9"/>
        <v>0</v>
      </c>
      <c r="E111" s="133">
        <f t="shared" si="10"/>
        <v>0</v>
      </c>
      <c r="F111" s="310"/>
      <c r="G111" s="344" t="s">
        <v>90</v>
      </c>
      <c r="H111" s="310"/>
      <c r="I111" s="344" t="s">
        <v>90</v>
      </c>
      <c r="J111" s="310"/>
      <c r="K111" s="285">
        <f t="shared" ref="K111:K117" si="15">SUM(G111)-SUM(I111)</f>
        <v>0</v>
      </c>
      <c r="L111" s="285">
        <f t="shared" si="12"/>
        <v>0</v>
      </c>
      <c r="N111" s="96" t="s">
        <v>87</v>
      </c>
    </row>
    <row r="112" spans="1:14" ht="14.25" x14ac:dyDescent="0.2">
      <c r="A112" s="287" t="s">
        <v>264</v>
      </c>
      <c r="B112" s="169">
        <v>5</v>
      </c>
      <c r="C112" s="137" t="s">
        <v>90</v>
      </c>
      <c r="D112" s="133">
        <f t="shared" si="9"/>
        <v>0</v>
      </c>
      <c r="E112" s="133">
        <f t="shared" si="10"/>
        <v>0</v>
      </c>
      <c r="F112" s="310"/>
      <c r="G112" s="344" t="s">
        <v>90</v>
      </c>
      <c r="H112" s="310"/>
      <c r="I112" s="344" t="s">
        <v>90</v>
      </c>
      <c r="J112" s="310"/>
      <c r="K112" s="285">
        <f t="shared" si="15"/>
        <v>0</v>
      </c>
      <c r="L112" s="285">
        <f t="shared" si="12"/>
        <v>0</v>
      </c>
      <c r="N112" s="96" t="s">
        <v>87</v>
      </c>
    </row>
    <row r="113" spans="1:14" ht="14.25" x14ac:dyDescent="0.2">
      <c r="A113" s="287" t="s">
        <v>265</v>
      </c>
      <c r="B113" s="169">
        <v>6</v>
      </c>
      <c r="C113" s="137" t="s">
        <v>90</v>
      </c>
      <c r="D113" s="133">
        <f t="shared" si="9"/>
        <v>0</v>
      </c>
      <c r="E113" s="133">
        <f t="shared" si="10"/>
        <v>0</v>
      </c>
      <c r="F113" s="310"/>
      <c r="G113" s="344" t="s">
        <v>90</v>
      </c>
      <c r="H113" s="310"/>
      <c r="I113" s="344" t="s">
        <v>90</v>
      </c>
      <c r="J113" s="310"/>
      <c r="K113" s="285">
        <f t="shared" si="15"/>
        <v>0</v>
      </c>
      <c r="L113" s="285">
        <f t="shared" si="12"/>
        <v>0</v>
      </c>
      <c r="N113" s="96" t="s">
        <v>87</v>
      </c>
    </row>
    <row r="114" spans="1:14" ht="14.25" x14ac:dyDescent="0.2">
      <c r="A114" s="287" t="s">
        <v>266</v>
      </c>
      <c r="B114" s="169">
        <v>7</v>
      </c>
      <c r="C114" s="137" t="s">
        <v>90</v>
      </c>
      <c r="D114" s="133">
        <f t="shared" si="9"/>
        <v>0</v>
      </c>
      <c r="E114" s="133">
        <f t="shared" si="10"/>
        <v>0</v>
      </c>
      <c r="F114" s="310"/>
      <c r="G114" s="344" t="s">
        <v>90</v>
      </c>
      <c r="H114" s="310"/>
      <c r="I114" s="344" t="s">
        <v>90</v>
      </c>
      <c r="J114" s="310"/>
      <c r="K114" s="285">
        <f t="shared" si="15"/>
        <v>0</v>
      </c>
      <c r="L114" s="285">
        <f t="shared" si="12"/>
        <v>0</v>
      </c>
      <c r="N114" s="96" t="s">
        <v>87</v>
      </c>
    </row>
    <row r="115" spans="1:14" ht="14.25" x14ac:dyDescent="0.2">
      <c r="A115" s="287" t="s">
        <v>188</v>
      </c>
      <c r="B115" s="169">
        <v>8</v>
      </c>
      <c r="C115" s="137" t="s">
        <v>90</v>
      </c>
      <c r="D115" s="133">
        <f t="shared" si="9"/>
        <v>0</v>
      </c>
      <c r="E115" s="133">
        <f t="shared" si="10"/>
        <v>0</v>
      </c>
      <c r="F115" s="310"/>
      <c r="G115" s="344" t="s">
        <v>90</v>
      </c>
      <c r="H115" s="310"/>
      <c r="I115" s="344" t="s">
        <v>90</v>
      </c>
      <c r="J115" s="310"/>
      <c r="K115" s="285">
        <f t="shared" si="15"/>
        <v>0</v>
      </c>
      <c r="L115" s="285">
        <f t="shared" si="12"/>
        <v>0</v>
      </c>
      <c r="N115" s="96" t="s">
        <v>87</v>
      </c>
    </row>
    <row r="116" spans="1:14" ht="14.25" x14ac:dyDescent="0.2">
      <c r="A116" s="287" t="s">
        <v>186</v>
      </c>
      <c r="B116" s="169">
        <v>9</v>
      </c>
      <c r="C116" s="137" t="s">
        <v>90</v>
      </c>
      <c r="D116" s="133">
        <f t="shared" si="9"/>
        <v>0</v>
      </c>
      <c r="E116" s="133">
        <f t="shared" si="10"/>
        <v>0</v>
      </c>
      <c r="F116" s="310"/>
      <c r="G116" s="344" t="s">
        <v>90</v>
      </c>
      <c r="H116" s="310"/>
      <c r="I116" s="344" t="s">
        <v>90</v>
      </c>
      <c r="J116" s="310"/>
      <c r="K116" s="285">
        <f t="shared" si="15"/>
        <v>0</v>
      </c>
      <c r="L116" s="285">
        <f t="shared" si="12"/>
        <v>0</v>
      </c>
      <c r="N116" s="96" t="s">
        <v>87</v>
      </c>
    </row>
    <row r="117" spans="1:14" ht="14.25" x14ac:dyDescent="0.2">
      <c r="A117" s="287" t="s">
        <v>267</v>
      </c>
      <c r="B117" s="169">
        <v>10</v>
      </c>
      <c r="C117" s="137" t="s">
        <v>90</v>
      </c>
      <c r="D117" s="133">
        <f t="shared" si="9"/>
        <v>0</v>
      </c>
      <c r="E117" s="133">
        <f t="shared" si="10"/>
        <v>0</v>
      </c>
      <c r="F117" s="310"/>
      <c r="G117" s="344" t="s">
        <v>90</v>
      </c>
      <c r="H117" s="310"/>
      <c r="I117" s="344" t="s">
        <v>90</v>
      </c>
      <c r="J117" s="310"/>
      <c r="K117" s="285">
        <f t="shared" si="15"/>
        <v>0</v>
      </c>
      <c r="L117" s="285">
        <f t="shared" si="12"/>
        <v>0</v>
      </c>
      <c r="N117" s="96" t="s">
        <v>87</v>
      </c>
    </row>
    <row r="118" spans="1:14" ht="14.25" x14ac:dyDescent="0.2">
      <c r="A118" s="286" t="s">
        <v>268</v>
      </c>
      <c r="B118" s="169">
        <v>11</v>
      </c>
      <c r="C118" s="133">
        <f>SUM(C119,C122:C124)</f>
        <v>0</v>
      </c>
      <c r="D118" s="133">
        <f t="shared" si="9"/>
        <v>0</v>
      </c>
      <c r="E118" s="133">
        <f t="shared" si="10"/>
        <v>0</v>
      </c>
      <c r="F118" s="310"/>
      <c r="G118" s="285">
        <f t="shared" ref="G118:K118" si="16">SUM(G119,G122:G124)</f>
        <v>0</v>
      </c>
      <c r="H118" s="310"/>
      <c r="I118" s="285">
        <f t="shared" si="16"/>
        <v>0</v>
      </c>
      <c r="J118" s="310"/>
      <c r="K118" s="285">
        <f t="shared" si="16"/>
        <v>0</v>
      </c>
      <c r="L118" s="285">
        <f t="shared" si="12"/>
        <v>0</v>
      </c>
      <c r="N118" s="96" t="s">
        <v>87</v>
      </c>
    </row>
    <row r="119" spans="1:14" ht="14.25" x14ac:dyDescent="0.2">
      <c r="A119" s="287" t="s">
        <v>269</v>
      </c>
      <c r="B119" s="169">
        <v>12</v>
      </c>
      <c r="C119" s="137" t="s">
        <v>90</v>
      </c>
      <c r="D119" s="133">
        <f t="shared" si="9"/>
        <v>0</v>
      </c>
      <c r="E119" s="133">
        <f t="shared" si="10"/>
        <v>0</v>
      </c>
      <c r="F119" s="310"/>
      <c r="G119" s="344" t="s">
        <v>90</v>
      </c>
      <c r="H119" s="310"/>
      <c r="I119" s="344" t="s">
        <v>90</v>
      </c>
      <c r="J119" s="310"/>
      <c r="K119" s="285">
        <f t="shared" ref="K119:K124" si="17">SUM(G119)-SUM(I119)</f>
        <v>0</v>
      </c>
      <c r="L119" s="285">
        <f t="shared" si="12"/>
        <v>0</v>
      </c>
      <c r="N119" s="96" t="s">
        <v>87</v>
      </c>
    </row>
    <row r="120" spans="1:14" ht="14.25" x14ac:dyDescent="0.2">
      <c r="A120" s="288" t="s">
        <v>270</v>
      </c>
      <c r="B120" s="169">
        <v>13</v>
      </c>
      <c r="C120" s="137" t="s">
        <v>90</v>
      </c>
      <c r="D120" s="133">
        <f t="shared" si="9"/>
        <v>0</v>
      </c>
      <c r="E120" s="133">
        <f t="shared" si="10"/>
        <v>0</v>
      </c>
      <c r="F120" s="310"/>
      <c r="G120" s="344" t="s">
        <v>90</v>
      </c>
      <c r="H120" s="310"/>
      <c r="I120" s="344" t="s">
        <v>90</v>
      </c>
      <c r="J120" s="310"/>
      <c r="K120" s="285">
        <f t="shared" si="17"/>
        <v>0</v>
      </c>
      <c r="L120" s="285">
        <f t="shared" si="12"/>
        <v>0</v>
      </c>
      <c r="N120" s="96" t="s">
        <v>87</v>
      </c>
    </row>
    <row r="121" spans="1:14" ht="14.25" x14ac:dyDescent="0.2">
      <c r="A121" s="288" t="s">
        <v>271</v>
      </c>
      <c r="B121" s="169">
        <v>14</v>
      </c>
      <c r="C121" s="137" t="s">
        <v>90</v>
      </c>
      <c r="D121" s="133">
        <f t="shared" si="9"/>
        <v>0</v>
      </c>
      <c r="E121" s="133">
        <f t="shared" si="10"/>
        <v>0</v>
      </c>
      <c r="F121" s="310"/>
      <c r="G121" s="344" t="s">
        <v>90</v>
      </c>
      <c r="H121" s="310"/>
      <c r="I121" s="344" t="s">
        <v>90</v>
      </c>
      <c r="J121" s="310"/>
      <c r="K121" s="285">
        <f t="shared" si="17"/>
        <v>0</v>
      </c>
      <c r="L121" s="285">
        <f t="shared" si="12"/>
        <v>0</v>
      </c>
      <c r="N121" s="96" t="s">
        <v>87</v>
      </c>
    </row>
    <row r="122" spans="1:14" ht="14.25" x14ac:dyDescent="0.2">
      <c r="A122" s="287" t="s">
        <v>272</v>
      </c>
      <c r="B122" s="169">
        <v>15</v>
      </c>
      <c r="C122" s="137" t="s">
        <v>90</v>
      </c>
      <c r="D122" s="133">
        <f t="shared" si="9"/>
        <v>0</v>
      </c>
      <c r="E122" s="133">
        <f t="shared" si="10"/>
        <v>0</v>
      </c>
      <c r="F122" s="310"/>
      <c r="G122" s="344" t="s">
        <v>90</v>
      </c>
      <c r="H122" s="310"/>
      <c r="I122" s="344" t="s">
        <v>90</v>
      </c>
      <c r="J122" s="310"/>
      <c r="K122" s="285">
        <f t="shared" si="17"/>
        <v>0</v>
      </c>
      <c r="L122" s="285">
        <f t="shared" si="12"/>
        <v>0</v>
      </c>
      <c r="N122" s="96" t="s">
        <v>87</v>
      </c>
    </row>
    <row r="123" spans="1:14" ht="14.25" x14ac:dyDescent="0.2">
      <c r="A123" s="287" t="s">
        <v>273</v>
      </c>
      <c r="B123" s="169">
        <v>16</v>
      </c>
      <c r="C123" s="137" t="s">
        <v>90</v>
      </c>
      <c r="D123" s="133">
        <f t="shared" si="9"/>
        <v>0</v>
      </c>
      <c r="E123" s="133">
        <f t="shared" si="10"/>
        <v>0</v>
      </c>
      <c r="F123" s="310"/>
      <c r="G123" s="344" t="s">
        <v>90</v>
      </c>
      <c r="H123" s="310"/>
      <c r="I123" s="344" t="s">
        <v>90</v>
      </c>
      <c r="J123" s="310"/>
      <c r="K123" s="285">
        <f t="shared" si="17"/>
        <v>0</v>
      </c>
      <c r="L123" s="285">
        <f t="shared" si="12"/>
        <v>0</v>
      </c>
      <c r="N123" s="96" t="s">
        <v>87</v>
      </c>
    </row>
    <row r="124" spans="1:14" ht="14.25" x14ac:dyDescent="0.2">
      <c r="A124" s="287" t="s">
        <v>274</v>
      </c>
      <c r="B124" s="169">
        <v>17</v>
      </c>
      <c r="C124" s="137" t="s">
        <v>90</v>
      </c>
      <c r="D124" s="133">
        <f t="shared" si="9"/>
        <v>0</v>
      </c>
      <c r="E124" s="133">
        <f t="shared" si="10"/>
        <v>0</v>
      </c>
      <c r="F124" s="310"/>
      <c r="G124" s="344" t="s">
        <v>90</v>
      </c>
      <c r="H124" s="310"/>
      <c r="I124" s="344" t="s">
        <v>90</v>
      </c>
      <c r="J124" s="310"/>
      <c r="K124" s="285">
        <f t="shared" si="17"/>
        <v>0</v>
      </c>
      <c r="L124" s="285">
        <f t="shared" si="12"/>
        <v>0</v>
      </c>
      <c r="N124" s="96" t="s">
        <v>87</v>
      </c>
    </row>
    <row r="125" spans="1:14" ht="14.25" x14ac:dyDescent="0.2">
      <c r="A125" s="283" t="s">
        <v>275</v>
      </c>
      <c r="B125" s="169">
        <v>18</v>
      </c>
      <c r="C125" s="133">
        <f>SUM(C126,C139)</f>
        <v>0</v>
      </c>
      <c r="D125" s="133">
        <f t="shared" si="9"/>
        <v>0</v>
      </c>
      <c r="E125" s="133">
        <f t="shared" si="10"/>
        <v>0</v>
      </c>
      <c r="F125" s="285">
        <f t="shared" ref="F125:K125" si="18">SUM(F126,F139)</f>
        <v>0</v>
      </c>
      <c r="G125" s="285">
        <f t="shared" si="18"/>
        <v>0</v>
      </c>
      <c r="H125" s="285">
        <f t="shared" si="18"/>
        <v>0</v>
      </c>
      <c r="I125" s="285">
        <f t="shared" si="18"/>
        <v>0</v>
      </c>
      <c r="J125" s="285">
        <f t="shared" si="18"/>
        <v>0</v>
      </c>
      <c r="K125" s="285">
        <f t="shared" si="18"/>
        <v>0</v>
      </c>
      <c r="L125" s="285">
        <f t="shared" si="12"/>
        <v>0</v>
      </c>
      <c r="N125" s="96" t="s">
        <v>87</v>
      </c>
    </row>
    <row r="126" spans="1:14" ht="14.25" x14ac:dyDescent="0.2">
      <c r="A126" s="286" t="s">
        <v>276</v>
      </c>
      <c r="B126" s="169">
        <v>19</v>
      </c>
      <c r="C126" s="285">
        <f>SUM(C127:C138)</f>
        <v>0</v>
      </c>
      <c r="D126" s="133">
        <f t="shared" si="9"/>
        <v>0</v>
      </c>
      <c r="E126" s="133">
        <f t="shared" si="10"/>
        <v>0</v>
      </c>
      <c r="F126" s="285">
        <f t="shared" ref="F126:K126" si="19">SUM(F127:F138)</f>
        <v>0</v>
      </c>
      <c r="G126" s="285">
        <f t="shared" si="19"/>
        <v>0</v>
      </c>
      <c r="H126" s="285">
        <f t="shared" si="19"/>
        <v>0</v>
      </c>
      <c r="I126" s="285">
        <f t="shared" si="19"/>
        <v>0</v>
      </c>
      <c r="J126" s="285">
        <f t="shared" si="19"/>
        <v>0</v>
      </c>
      <c r="K126" s="285">
        <f t="shared" si="19"/>
        <v>0</v>
      </c>
      <c r="L126" s="285">
        <f t="shared" si="12"/>
        <v>0</v>
      </c>
      <c r="N126" s="96" t="s">
        <v>87</v>
      </c>
    </row>
    <row r="127" spans="1:14" ht="14.25" x14ac:dyDescent="0.2">
      <c r="A127" s="287" t="s">
        <v>195</v>
      </c>
      <c r="B127" s="169">
        <v>20</v>
      </c>
      <c r="C127" s="344" t="s">
        <v>90</v>
      </c>
      <c r="D127" s="133">
        <f t="shared" si="9"/>
        <v>0</v>
      </c>
      <c r="E127" s="133">
        <f t="shared" si="10"/>
        <v>0</v>
      </c>
      <c r="F127" s="344" t="s">
        <v>90</v>
      </c>
      <c r="G127" s="344" t="s">
        <v>90</v>
      </c>
      <c r="H127" s="344" t="s">
        <v>90</v>
      </c>
      <c r="I127" s="344" t="s">
        <v>90</v>
      </c>
      <c r="J127" s="285">
        <f t="shared" ref="J127:J138" si="20">SUM(F127)-SUM(H127)</f>
        <v>0</v>
      </c>
      <c r="K127" s="285">
        <f t="shared" ref="K127:K138" si="21">SUM(G127)-SUM(I127)</f>
        <v>0</v>
      </c>
      <c r="L127" s="285">
        <f t="shared" si="12"/>
        <v>0</v>
      </c>
      <c r="N127" s="96" t="s">
        <v>87</v>
      </c>
    </row>
    <row r="128" spans="1:14" ht="14.25" x14ac:dyDescent="0.2">
      <c r="A128" s="287" t="s">
        <v>277</v>
      </c>
      <c r="B128" s="169">
        <v>21</v>
      </c>
      <c r="C128" s="344" t="s">
        <v>90</v>
      </c>
      <c r="D128" s="133">
        <f t="shared" si="9"/>
        <v>0</v>
      </c>
      <c r="E128" s="133">
        <f t="shared" si="10"/>
        <v>0</v>
      </c>
      <c r="F128" s="344" t="s">
        <v>90</v>
      </c>
      <c r="G128" s="344" t="s">
        <v>90</v>
      </c>
      <c r="H128" s="344" t="s">
        <v>90</v>
      </c>
      <c r="I128" s="344" t="s">
        <v>90</v>
      </c>
      <c r="J128" s="285">
        <f t="shared" si="20"/>
        <v>0</v>
      </c>
      <c r="K128" s="285">
        <f t="shared" si="21"/>
        <v>0</v>
      </c>
      <c r="L128" s="285">
        <f t="shared" si="12"/>
        <v>0</v>
      </c>
      <c r="N128" s="96" t="s">
        <v>87</v>
      </c>
    </row>
    <row r="129" spans="1:14" ht="14.25" x14ac:dyDescent="0.2">
      <c r="A129" s="287" t="s">
        <v>278</v>
      </c>
      <c r="B129" s="169">
        <v>22</v>
      </c>
      <c r="C129" s="344" t="s">
        <v>90</v>
      </c>
      <c r="D129" s="133">
        <f t="shared" si="9"/>
        <v>0</v>
      </c>
      <c r="E129" s="133">
        <f t="shared" si="10"/>
        <v>0</v>
      </c>
      <c r="F129" s="344" t="s">
        <v>90</v>
      </c>
      <c r="G129" s="344" t="s">
        <v>90</v>
      </c>
      <c r="H129" s="344" t="s">
        <v>90</v>
      </c>
      <c r="I129" s="344" t="s">
        <v>90</v>
      </c>
      <c r="J129" s="285">
        <f t="shared" si="20"/>
        <v>0</v>
      </c>
      <c r="K129" s="285">
        <f t="shared" si="21"/>
        <v>0</v>
      </c>
      <c r="L129" s="285">
        <f t="shared" si="12"/>
        <v>0</v>
      </c>
      <c r="N129" s="96" t="s">
        <v>87</v>
      </c>
    </row>
    <row r="130" spans="1:14" ht="14.25" x14ac:dyDescent="0.2">
      <c r="A130" s="290" t="s">
        <v>279</v>
      </c>
      <c r="B130" s="169">
        <v>23</v>
      </c>
      <c r="C130" s="344" t="s">
        <v>90</v>
      </c>
      <c r="D130" s="133">
        <f t="shared" si="9"/>
        <v>0</v>
      </c>
      <c r="E130" s="133">
        <f t="shared" si="10"/>
        <v>0</v>
      </c>
      <c r="F130" s="344" t="s">
        <v>90</v>
      </c>
      <c r="G130" s="344" t="s">
        <v>90</v>
      </c>
      <c r="H130" s="344" t="s">
        <v>90</v>
      </c>
      <c r="I130" s="344" t="s">
        <v>90</v>
      </c>
      <c r="J130" s="285">
        <f t="shared" si="20"/>
        <v>0</v>
      </c>
      <c r="K130" s="285">
        <f t="shared" si="21"/>
        <v>0</v>
      </c>
      <c r="L130" s="285">
        <f t="shared" si="12"/>
        <v>0</v>
      </c>
      <c r="N130" s="96" t="s">
        <v>87</v>
      </c>
    </row>
    <row r="131" spans="1:14" ht="14.25" x14ac:dyDescent="0.2">
      <c r="A131" s="287" t="s">
        <v>280</v>
      </c>
      <c r="B131" s="169">
        <v>24</v>
      </c>
      <c r="C131" s="344" t="s">
        <v>90</v>
      </c>
      <c r="D131" s="133">
        <f t="shared" si="9"/>
        <v>0</v>
      </c>
      <c r="E131" s="133">
        <f t="shared" si="10"/>
        <v>0</v>
      </c>
      <c r="F131" s="344" t="s">
        <v>90</v>
      </c>
      <c r="G131" s="344" t="s">
        <v>90</v>
      </c>
      <c r="H131" s="344" t="s">
        <v>90</v>
      </c>
      <c r="I131" s="344" t="s">
        <v>90</v>
      </c>
      <c r="J131" s="285">
        <f t="shared" si="20"/>
        <v>0</v>
      </c>
      <c r="K131" s="285">
        <f t="shared" si="21"/>
        <v>0</v>
      </c>
      <c r="L131" s="285">
        <f t="shared" si="12"/>
        <v>0</v>
      </c>
      <c r="N131" s="96" t="s">
        <v>87</v>
      </c>
    </row>
    <row r="132" spans="1:14" ht="14.25" x14ac:dyDescent="0.2">
      <c r="A132" s="287" t="s">
        <v>281</v>
      </c>
      <c r="B132" s="169">
        <v>25</v>
      </c>
      <c r="C132" s="344" t="s">
        <v>90</v>
      </c>
      <c r="D132" s="133">
        <f t="shared" si="9"/>
        <v>0</v>
      </c>
      <c r="E132" s="133">
        <f t="shared" si="10"/>
        <v>0</v>
      </c>
      <c r="F132" s="344" t="s">
        <v>90</v>
      </c>
      <c r="G132" s="344" t="s">
        <v>90</v>
      </c>
      <c r="H132" s="344" t="s">
        <v>90</v>
      </c>
      <c r="I132" s="344" t="s">
        <v>90</v>
      </c>
      <c r="J132" s="285">
        <f t="shared" si="20"/>
        <v>0</v>
      </c>
      <c r="K132" s="285">
        <f t="shared" si="21"/>
        <v>0</v>
      </c>
      <c r="L132" s="285">
        <f t="shared" si="12"/>
        <v>0</v>
      </c>
      <c r="N132" s="96" t="s">
        <v>87</v>
      </c>
    </row>
    <row r="133" spans="1:14" ht="14.25" x14ac:dyDescent="0.2">
      <c r="A133" s="287" t="s">
        <v>282</v>
      </c>
      <c r="B133" s="169">
        <v>26</v>
      </c>
      <c r="C133" s="344" t="s">
        <v>90</v>
      </c>
      <c r="D133" s="133">
        <f t="shared" si="9"/>
        <v>0</v>
      </c>
      <c r="E133" s="133">
        <f t="shared" si="10"/>
        <v>0</v>
      </c>
      <c r="F133" s="344" t="s">
        <v>90</v>
      </c>
      <c r="G133" s="344" t="s">
        <v>90</v>
      </c>
      <c r="H133" s="344" t="s">
        <v>90</v>
      </c>
      <c r="I133" s="344" t="s">
        <v>90</v>
      </c>
      <c r="J133" s="285">
        <f t="shared" si="20"/>
        <v>0</v>
      </c>
      <c r="K133" s="285">
        <f t="shared" si="21"/>
        <v>0</v>
      </c>
      <c r="L133" s="285">
        <f t="shared" si="12"/>
        <v>0</v>
      </c>
      <c r="N133" s="96" t="s">
        <v>87</v>
      </c>
    </row>
    <row r="134" spans="1:14" ht="14.25" x14ac:dyDescent="0.2">
      <c r="A134" s="287" t="s">
        <v>283</v>
      </c>
      <c r="B134" s="169">
        <v>27</v>
      </c>
      <c r="C134" s="344" t="s">
        <v>90</v>
      </c>
      <c r="D134" s="133">
        <f t="shared" si="9"/>
        <v>0</v>
      </c>
      <c r="E134" s="133">
        <f t="shared" si="10"/>
        <v>0</v>
      </c>
      <c r="F134" s="344" t="s">
        <v>90</v>
      </c>
      <c r="G134" s="344" t="s">
        <v>90</v>
      </c>
      <c r="H134" s="344" t="s">
        <v>90</v>
      </c>
      <c r="I134" s="344" t="s">
        <v>90</v>
      </c>
      <c r="J134" s="285">
        <f t="shared" si="20"/>
        <v>0</v>
      </c>
      <c r="K134" s="285">
        <f t="shared" si="21"/>
        <v>0</v>
      </c>
      <c r="L134" s="285">
        <f t="shared" si="12"/>
        <v>0</v>
      </c>
      <c r="N134" s="96" t="s">
        <v>87</v>
      </c>
    </row>
    <row r="135" spans="1:14" ht="14.25" x14ac:dyDescent="0.2">
      <c r="A135" s="287" t="s">
        <v>284</v>
      </c>
      <c r="B135" s="169">
        <v>28</v>
      </c>
      <c r="C135" s="344" t="s">
        <v>90</v>
      </c>
      <c r="D135" s="133">
        <f t="shared" si="9"/>
        <v>0</v>
      </c>
      <c r="E135" s="133">
        <f t="shared" si="10"/>
        <v>0</v>
      </c>
      <c r="F135" s="344" t="s">
        <v>90</v>
      </c>
      <c r="G135" s="344" t="s">
        <v>90</v>
      </c>
      <c r="H135" s="344" t="s">
        <v>90</v>
      </c>
      <c r="I135" s="344" t="s">
        <v>90</v>
      </c>
      <c r="J135" s="285">
        <f t="shared" si="20"/>
        <v>0</v>
      </c>
      <c r="K135" s="285">
        <f t="shared" si="21"/>
        <v>0</v>
      </c>
      <c r="L135" s="285">
        <f t="shared" si="12"/>
        <v>0</v>
      </c>
      <c r="N135" s="96" t="s">
        <v>87</v>
      </c>
    </row>
    <row r="136" spans="1:14" ht="14.25" x14ac:dyDescent="0.2">
      <c r="A136" s="287" t="s">
        <v>285</v>
      </c>
      <c r="B136" s="169">
        <v>29</v>
      </c>
      <c r="C136" s="344" t="s">
        <v>90</v>
      </c>
      <c r="D136" s="133">
        <f t="shared" si="9"/>
        <v>0</v>
      </c>
      <c r="E136" s="133">
        <f t="shared" si="10"/>
        <v>0</v>
      </c>
      <c r="F136" s="344" t="s">
        <v>90</v>
      </c>
      <c r="G136" s="344" t="s">
        <v>90</v>
      </c>
      <c r="H136" s="344" t="s">
        <v>90</v>
      </c>
      <c r="I136" s="344" t="s">
        <v>90</v>
      </c>
      <c r="J136" s="285">
        <f t="shared" si="20"/>
        <v>0</v>
      </c>
      <c r="K136" s="285">
        <f t="shared" si="21"/>
        <v>0</v>
      </c>
      <c r="L136" s="285">
        <f t="shared" si="12"/>
        <v>0</v>
      </c>
      <c r="N136" s="96" t="s">
        <v>87</v>
      </c>
    </row>
    <row r="137" spans="1:14" ht="14.25" x14ac:dyDescent="0.2">
      <c r="A137" s="287" t="s">
        <v>286</v>
      </c>
      <c r="B137" s="169">
        <v>30</v>
      </c>
      <c r="C137" s="344" t="s">
        <v>90</v>
      </c>
      <c r="D137" s="133">
        <f t="shared" si="9"/>
        <v>0</v>
      </c>
      <c r="E137" s="133">
        <f t="shared" si="10"/>
        <v>0</v>
      </c>
      <c r="F137" s="344" t="s">
        <v>90</v>
      </c>
      <c r="G137" s="344" t="s">
        <v>90</v>
      </c>
      <c r="H137" s="344" t="s">
        <v>90</v>
      </c>
      <c r="I137" s="344" t="s">
        <v>90</v>
      </c>
      <c r="J137" s="285">
        <f t="shared" si="20"/>
        <v>0</v>
      </c>
      <c r="K137" s="285">
        <f t="shared" si="21"/>
        <v>0</v>
      </c>
      <c r="L137" s="285">
        <f t="shared" si="12"/>
        <v>0</v>
      </c>
      <c r="N137" s="96" t="s">
        <v>87</v>
      </c>
    </row>
    <row r="138" spans="1:14" ht="14.25" x14ac:dyDescent="0.2">
      <c r="A138" s="287" t="s">
        <v>287</v>
      </c>
      <c r="B138" s="169">
        <v>31</v>
      </c>
      <c r="C138" s="344" t="s">
        <v>90</v>
      </c>
      <c r="D138" s="133">
        <f t="shared" si="9"/>
        <v>0</v>
      </c>
      <c r="E138" s="133">
        <f t="shared" si="10"/>
        <v>0</v>
      </c>
      <c r="F138" s="344" t="s">
        <v>90</v>
      </c>
      <c r="G138" s="344" t="s">
        <v>90</v>
      </c>
      <c r="H138" s="344" t="s">
        <v>90</v>
      </c>
      <c r="I138" s="344" t="s">
        <v>90</v>
      </c>
      <c r="J138" s="285">
        <f t="shared" si="20"/>
        <v>0</v>
      </c>
      <c r="K138" s="285">
        <f t="shared" si="21"/>
        <v>0</v>
      </c>
      <c r="L138" s="285">
        <f t="shared" si="12"/>
        <v>0</v>
      </c>
      <c r="N138" s="96" t="s">
        <v>87</v>
      </c>
    </row>
    <row r="139" spans="1:14" ht="14.25" x14ac:dyDescent="0.2">
      <c r="A139" s="286" t="s">
        <v>288</v>
      </c>
      <c r="B139" s="169">
        <v>32</v>
      </c>
      <c r="C139" s="285">
        <f>SUM(C140:C142)</f>
        <v>0</v>
      </c>
      <c r="D139" s="133">
        <f t="shared" si="9"/>
        <v>0</v>
      </c>
      <c r="E139" s="133">
        <f t="shared" si="10"/>
        <v>0</v>
      </c>
      <c r="F139" s="285">
        <f t="shared" ref="F139:K139" si="22">SUM(F140:F142)</f>
        <v>0</v>
      </c>
      <c r="G139" s="285">
        <f t="shared" si="22"/>
        <v>0</v>
      </c>
      <c r="H139" s="285">
        <f t="shared" si="22"/>
        <v>0</v>
      </c>
      <c r="I139" s="285">
        <f t="shared" si="22"/>
        <v>0</v>
      </c>
      <c r="J139" s="285">
        <f t="shared" si="22"/>
        <v>0</v>
      </c>
      <c r="K139" s="285">
        <f t="shared" si="22"/>
        <v>0</v>
      </c>
      <c r="L139" s="285">
        <f t="shared" si="12"/>
        <v>0</v>
      </c>
      <c r="N139" s="96" t="s">
        <v>87</v>
      </c>
    </row>
    <row r="140" spans="1:14" ht="14.25" x14ac:dyDescent="0.2">
      <c r="A140" s="287" t="s">
        <v>204</v>
      </c>
      <c r="B140" s="169">
        <v>33</v>
      </c>
      <c r="C140" s="344" t="s">
        <v>90</v>
      </c>
      <c r="D140" s="133">
        <f t="shared" si="9"/>
        <v>0</v>
      </c>
      <c r="E140" s="133">
        <f t="shared" si="10"/>
        <v>0</v>
      </c>
      <c r="F140" s="344" t="s">
        <v>90</v>
      </c>
      <c r="G140" s="344" t="s">
        <v>90</v>
      </c>
      <c r="H140" s="344" t="s">
        <v>90</v>
      </c>
      <c r="I140" s="344" t="s">
        <v>90</v>
      </c>
      <c r="J140" s="285">
        <f t="shared" ref="J140:K142" si="23">SUM(F140)-SUM(H140)</f>
        <v>0</v>
      </c>
      <c r="K140" s="285">
        <f t="shared" si="23"/>
        <v>0</v>
      </c>
      <c r="L140" s="285">
        <f t="shared" si="12"/>
        <v>0</v>
      </c>
      <c r="N140" s="96" t="s">
        <v>87</v>
      </c>
    </row>
    <row r="141" spans="1:14" ht="14.25" x14ac:dyDescent="0.2">
      <c r="A141" s="287" t="s">
        <v>289</v>
      </c>
      <c r="B141" s="169">
        <v>34</v>
      </c>
      <c r="C141" s="344" t="s">
        <v>90</v>
      </c>
      <c r="D141" s="133">
        <f t="shared" si="9"/>
        <v>0</v>
      </c>
      <c r="E141" s="133">
        <f t="shared" si="10"/>
        <v>0</v>
      </c>
      <c r="F141" s="344" t="s">
        <v>90</v>
      </c>
      <c r="G141" s="344" t="s">
        <v>90</v>
      </c>
      <c r="H141" s="344" t="s">
        <v>90</v>
      </c>
      <c r="I141" s="344" t="s">
        <v>90</v>
      </c>
      <c r="J141" s="285">
        <f t="shared" si="23"/>
        <v>0</v>
      </c>
      <c r="K141" s="285">
        <f t="shared" si="23"/>
        <v>0</v>
      </c>
      <c r="L141" s="285">
        <f t="shared" si="12"/>
        <v>0</v>
      </c>
      <c r="N141" s="96" t="s">
        <v>87</v>
      </c>
    </row>
    <row r="142" spans="1:14" ht="14.25" x14ac:dyDescent="0.2">
      <c r="A142" s="291" t="s">
        <v>290</v>
      </c>
      <c r="B142" s="162">
        <v>35</v>
      </c>
      <c r="C142" s="345" t="s">
        <v>90</v>
      </c>
      <c r="D142" s="313">
        <f t="shared" si="9"/>
        <v>0</v>
      </c>
      <c r="E142" s="313">
        <f t="shared" si="10"/>
        <v>0</v>
      </c>
      <c r="F142" s="345" t="s">
        <v>90</v>
      </c>
      <c r="G142" s="345" t="s">
        <v>90</v>
      </c>
      <c r="H142" s="345" t="s">
        <v>90</v>
      </c>
      <c r="I142" s="345" t="s">
        <v>90</v>
      </c>
      <c r="J142" s="153">
        <f t="shared" si="23"/>
        <v>0</v>
      </c>
      <c r="K142" s="153">
        <f t="shared" si="23"/>
        <v>0</v>
      </c>
      <c r="L142" s="153">
        <f t="shared" si="12"/>
        <v>0</v>
      </c>
      <c r="N142" s="96" t="s">
        <v>87</v>
      </c>
    </row>
    <row r="143" spans="1:14" ht="14.25" x14ac:dyDescent="0.2">
      <c r="N143" s="96" t="s">
        <v>87</v>
      </c>
    </row>
    <row r="144" spans="1:14" ht="14.25" x14ac:dyDescent="0.2">
      <c r="N144" s="96" t="s">
        <v>87</v>
      </c>
    </row>
    <row r="145" spans="1:14" ht="14.25" x14ac:dyDescent="0.2">
      <c r="A145" s="96" t="s">
        <v>87</v>
      </c>
      <c r="B145" s="96" t="s">
        <v>87</v>
      </c>
      <c r="C145" s="96" t="s">
        <v>87</v>
      </c>
      <c r="D145" s="96" t="s">
        <v>87</v>
      </c>
      <c r="E145" s="96" t="s">
        <v>87</v>
      </c>
      <c r="F145" s="96" t="s">
        <v>87</v>
      </c>
      <c r="G145" s="96" t="s">
        <v>87</v>
      </c>
      <c r="H145" s="96" t="s">
        <v>87</v>
      </c>
      <c r="I145" s="96" t="s">
        <v>87</v>
      </c>
      <c r="J145" s="96" t="s">
        <v>87</v>
      </c>
      <c r="K145" s="96" t="s">
        <v>87</v>
      </c>
      <c r="L145" s="96" t="s">
        <v>87</v>
      </c>
      <c r="M145" s="96" t="s">
        <v>87</v>
      </c>
      <c r="N145" s="96" t="s">
        <v>87</v>
      </c>
    </row>
  </sheetData>
  <printOptions horizontalCentered="1"/>
  <pageMargins left="0.19685039370078741" right="0.19685039370078741" top="0.15748031496062992" bottom="0.15748031496062992" header="0" footer="0"/>
  <pageSetup paperSize="9" scale="75" fitToWidth="2" fitToHeight="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30">
    <tabColor rgb="FF0070C0"/>
  </sheetPr>
  <dimension ref="A1:I72"/>
  <sheetViews>
    <sheetView showGridLines="0" zoomScaleNormal="100" workbookViewId="0">
      <selection activeCell="A23" sqref="A23"/>
    </sheetView>
  </sheetViews>
  <sheetFormatPr defaultColWidth="8.5703125" defaultRowHeight="12.75" x14ac:dyDescent="0.2"/>
  <cols>
    <col min="1" max="1" width="82.28515625" style="346" customWidth="1"/>
    <col min="2" max="2" width="4" style="346" customWidth="1"/>
    <col min="3" max="3" width="12.28515625" style="346" customWidth="1"/>
    <col min="4" max="4" width="11.7109375" style="346" customWidth="1"/>
    <col min="5" max="5" width="2.42578125" style="346" customWidth="1"/>
    <col min="6" max="7" width="8.5703125" style="346" customWidth="1"/>
    <col min="8" max="8" width="3.28515625" style="346" customWidth="1"/>
    <col min="9" max="9" width="2" style="346" customWidth="1"/>
    <col min="10" max="10" width="8.5703125" style="346" customWidth="1"/>
    <col min="11" max="233" width="9.7109375" style="346" customWidth="1"/>
    <col min="234" max="16384" width="8.5703125" style="346"/>
  </cols>
  <sheetData>
    <row r="1" spans="1:9" ht="14.25" x14ac:dyDescent="0.2">
      <c r="A1" s="93" t="str">
        <f>FT15.Participant!$A$1</f>
        <v>&lt;IAIG's Name&gt;</v>
      </c>
      <c r="B1" s="94"/>
      <c r="C1" s="94"/>
      <c r="D1" s="94"/>
      <c r="E1" s="94"/>
      <c r="F1" s="94"/>
      <c r="G1" s="95" t="str">
        <f ca="1">HYPERLINK("#"&amp;CELL("address",FT15.IndexSheet),Version)</f>
        <v>2015 IAIS Field Testing Template</v>
      </c>
      <c r="I1" s="96" t="s">
        <v>87</v>
      </c>
    </row>
    <row r="2" spans="1:9" ht="15" x14ac:dyDescent="0.25">
      <c r="A2" s="97" t="str">
        <f>FT15.Participant!$A$2</f>
        <v>&lt;Currency&gt; - (&lt;Unit&gt;)</v>
      </c>
      <c r="B2" s="98" t="s">
        <v>371</v>
      </c>
      <c r="C2" s="99"/>
      <c r="D2" s="99"/>
      <c r="E2" s="99"/>
      <c r="F2" s="99"/>
      <c r="G2" s="100" t="str">
        <f>FT15.Participant!$E$2</f>
        <v xml:space="preserve">&lt;Reporting Date&gt; - </v>
      </c>
      <c r="I2" s="96" t="s">
        <v>87</v>
      </c>
    </row>
    <row r="3" spans="1:9" ht="14.25" x14ac:dyDescent="0.2">
      <c r="I3" s="96" t="s">
        <v>87</v>
      </c>
    </row>
    <row r="4" spans="1:9" ht="15.75" x14ac:dyDescent="0.25">
      <c r="A4" s="154" t="s">
        <v>372</v>
      </c>
      <c r="B4" s="347"/>
      <c r="C4" s="348"/>
      <c r="I4" s="96" t="s">
        <v>87</v>
      </c>
    </row>
    <row r="5" spans="1:9" ht="14.25" x14ac:dyDescent="0.2">
      <c r="A5" s="160"/>
      <c r="B5" s="124">
        <v>15</v>
      </c>
      <c r="C5" s="106">
        <v>1</v>
      </c>
      <c r="I5" s="96" t="s">
        <v>87</v>
      </c>
    </row>
    <row r="6" spans="1:9" ht="15" x14ac:dyDescent="0.25">
      <c r="A6" s="349" t="s">
        <v>370</v>
      </c>
      <c r="B6" s="234">
        <v>1</v>
      </c>
      <c r="C6" s="350">
        <f>SUM(C7:C8)</f>
        <v>0</v>
      </c>
      <c r="I6" s="96" t="s">
        <v>87</v>
      </c>
    </row>
    <row r="7" spans="1:9" ht="14.25" x14ac:dyDescent="0.2">
      <c r="A7" s="351" t="s">
        <v>373</v>
      </c>
      <c r="B7" s="234">
        <v>2</v>
      </c>
      <c r="C7" s="352">
        <f>'FT15.Financial Instruments'!G8</f>
        <v>0</v>
      </c>
      <c r="I7" s="96" t="s">
        <v>87</v>
      </c>
    </row>
    <row r="8" spans="1:9" ht="14.25" x14ac:dyDescent="0.2">
      <c r="A8" s="353" t="s">
        <v>374</v>
      </c>
      <c r="B8" s="261">
        <v>3</v>
      </c>
      <c r="C8" s="354">
        <f>'FT15.Financial Instruments'!K8</f>
        <v>0</v>
      </c>
      <c r="I8" s="96" t="s">
        <v>87</v>
      </c>
    </row>
    <row r="9" spans="1:9" ht="14.25" x14ac:dyDescent="0.2">
      <c r="I9" s="96" t="s">
        <v>87</v>
      </c>
    </row>
    <row r="10" spans="1:9" ht="15.75" x14ac:dyDescent="0.25">
      <c r="A10" s="154" t="s">
        <v>375</v>
      </c>
      <c r="B10" s="347"/>
      <c r="C10" s="348"/>
      <c r="I10" s="96" t="s">
        <v>87</v>
      </c>
    </row>
    <row r="11" spans="1:9" ht="14.25" x14ac:dyDescent="0.2">
      <c r="A11" s="160"/>
      <c r="B11" s="124">
        <v>16</v>
      </c>
      <c r="C11" s="106">
        <v>1</v>
      </c>
      <c r="I11" s="96" t="s">
        <v>87</v>
      </c>
    </row>
    <row r="12" spans="1:9" ht="15" x14ac:dyDescent="0.25">
      <c r="A12" s="355" t="s">
        <v>370</v>
      </c>
      <c r="B12" s="169">
        <v>1</v>
      </c>
      <c r="C12" s="356">
        <f>SUM(C14:C26)</f>
        <v>0</v>
      </c>
      <c r="I12" s="96" t="s">
        <v>87</v>
      </c>
    </row>
    <row r="13" spans="1:9" ht="15" x14ac:dyDescent="0.2">
      <c r="A13" s="357" t="s">
        <v>376</v>
      </c>
      <c r="B13" s="169"/>
      <c r="C13" s="358"/>
      <c r="I13" s="96" t="s">
        <v>87</v>
      </c>
    </row>
    <row r="14" spans="1:9" ht="14.25" x14ac:dyDescent="0.2">
      <c r="A14" s="359" t="s">
        <v>158</v>
      </c>
      <c r="B14" s="234">
        <v>2</v>
      </c>
      <c r="C14" s="352">
        <f>'BCR.Balance sheet'!H83</f>
        <v>0</v>
      </c>
      <c r="I14" s="96" t="s">
        <v>87</v>
      </c>
    </row>
    <row r="15" spans="1:9" ht="14.25" x14ac:dyDescent="0.2">
      <c r="A15" s="359" t="s">
        <v>159</v>
      </c>
      <c r="B15" s="234">
        <v>3</v>
      </c>
      <c r="C15" s="352">
        <f>'BCR.Balance sheet'!H78</f>
        <v>0</v>
      </c>
      <c r="I15" s="96" t="s">
        <v>87</v>
      </c>
    </row>
    <row r="16" spans="1:9" ht="14.25" x14ac:dyDescent="0.2">
      <c r="A16" s="359" t="s">
        <v>160</v>
      </c>
      <c r="B16" s="234">
        <v>4</v>
      </c>
      <c r="C16" s="352">
        <f>'BCR.Balance sheet'!H85</f>
        <v>0</v>
      </c>
      <c r="I16" s="96" t="s">
        <v>87</v>
      </c>
    </row>
    <row r="17" spans="1:9" ht="14.25" x14ac:dyDescent="0.2">
      <c r="A17" s="359" t="s">
        <v>161</v>
      </c>
      <c r="B17" s="234">
        <v>5</v>
      </c>
      <c r="C17" s="352">
        <f>'BCR.Balance sheet'!H65</f>
        <v>0</v>
      </c>
      <c r="I17" s="96" t="s">
        <v>87</v>
      </c>
    </row>
    <row r="18" spans="1:9" ht="14.25" x14ac:dyDescent="0.2">
      <c r="A18" s="360" t="s">
        <v>162</v>
      </c>
      <c r="B18" s="234">
        <v>6</v>
      </c>
      <c r="C18" s="284">
        <f>'BCR.Balance sheet'!H80</f>
        <v>0</v>
      </c>
      <c r="I18" s="96" t="s">
        <v>87</v>
      </c>
    </row>
    <row r="19" spans="1:9" ht="14.25" x14ac:dyDescent="0.2">
      <c r="A19" s="360" t="s">
        <v>163</v>
      </c>
      <c r="B19" s="234">
        <v>7</v>
      </c>
      <c r="C19" s="361">
        <f>'BCR.Balance sheet'!H91</f>
        <v>0</v>
      </c>
      <c r="I19" s="96" t="s">
        <v>87</v>
      </c>
    </row>
    <row r="20" spans="1:9" ht="14.25" x14ac:dyDescent="0.2">
      <c r="A20" s="362" t="s">
        <v>377</v>
      </c>
      <c r="B20" s="234">
        <v>8</v>
      </c>
      <c r="C20" s="363">
        <f>SUM('BCR.Balance sheet'!G86:G89)</f>
        <v>0</v>
      </c>
      <c r="I20" s="96" t="s">
        <v>87</v>
      </c>
    </row>
    <row r="21" spans="1:9" ht="15" x14ac:dyDescent="0.25">
      <c r="A21" s="364" t="s">
        <v>378</v>
      </c>
      <c r="B21" s="234"/>
      <c r="C21" s="365"/>
      <c r="I21" s="96" t="s">
        <v>87</v>
      </c>
    </row>
    <row r="22" spans="1:9" ht="14.25" x14ac:dyDescent="0.2">
      <c r="A22" s="360" t="s">
        <v>379</v>
      </c>
      <c r="B22" s="234">
        <v>9</v>
      </c>
      <c r="C22" s="240">
        <f>SUM('BCR.Balance sheet'!H81:H82)</f>
        <v>0</v>
      </c>
      <c r="I22" s="96" t="s">
        <v>87</v>
      </c>
    </row>
    <row r="23" spans="1:9" ht="14.25" x14ac:dyDescent="0.2">
      <c r="A23" s="360" t="s">
        <v>380</v>
      </c>
      <c r="B23" s="234">
        <v>10</v>
      </c>
      <c r="C23" s="189">
        <f>50%*'BCR.Capital resources'!$C$39</f>
        <v>0</v>
      </c>
      <c r="I23" s="96" t="s">
        <v>87</v>
      </c>
    </row>
    <row r="24" spans="1:9" ht="14.25" x14ac:dyDescent="0.2">
      <c r="A24" s="360" t="s">
        <v>381</v>
      </c>
      <c r="B24" s="234">
        <v>11</v>
      </c>
      <c r="C24" s="189">
        <f>MAX(0,MIN(C38,C56))</f>
        <v>0</v>
      </c>
      <c r="I24" s="96" t="s">
        <v>87</v>
      </c>
    </row>
    <row r="25" spans="1:9" ht="14.25" x14ac:dyDescent="0.2">
      <c r="A25" s="366" t="s">
        <v>382</v>
      </c>
      <c r="B25" s="234">
        <v>12</v>
      </c>
      <c r="C25" s="189">
        <f>MAX(0,C65)</f>
        <v>0</v>
      </c>
      <c r="D25" s="367"/>
      <c r="I25" s="96" t="s">
        <v>87</v>
      </c>
    </row>
    <row r="26" spans="1:9" ht="14.25" x14ac:dyDescent="0.2">
      <c r="A26" s="368" t="s">
        <v>383</v>
      </c>
      <c r="B26" s="261">
        <v>13</v>
      </c>
      <c r="C26" s="369" t="s">
        <v>90</v>
      </c>
      <c r="I26" s="96" t="s">
        <v>87</v>
      </c>
    </row>
    <row r="27" spans="1:9" ht="14.25" x14ac:dyDescent="0.2">
      <c r="E27" s="370"/>
      <c r="I27" s="96" t="s">
        <v>87</v>
      </c>
    </row>
    <row r="28" spans="1:9" ht="15.75" x14ac:dyDescent="0.25">
      <c r="A28" s="154" t="s">
        <v>172</v>
      </c>
      <c r="B28" s="347"/>
      <c r="C28" s="348"/>
      <c r="E28" s="370"/>
      <c r="I28" s="96" t="s">
        <v>87</v>
      </c>
    </row>
    <row r="29" spans="1:9" ht="14.25" x14ac:dyDescent="0.2">
      <c r="A29" s="160"/>
      <c r="B29" s="124">
        <v>17</v>
      </c>
      <c r="C29" s="106">
        <v>1</v>
      </c>
      <c r="E29" s="370"/>
      <c r="I29" s="96" t="s">
        <v>87</v>
      </c>
    </row>
    <row r="30" spans="1:9" ht="14.25" x14ac:dyDescent="0.2">
      <c r="A30" s="371" t="s">
        <v>172</v>
      </c>
      <c r="B30" s="261">
        <v>1</v>
      </c>
      <c r="C30" s="372">
        <f>'FT15.Non-Paid-Up Cap Resources'!F7</f>
        <v>0</v>
      </c>
      <c r="E30" s="370"/>
      <c r="I30" s="96" t="s">
        <v>87</v>
      </c>
    </row>
    <row r="31" spans="1:9" ht="14.25" x14ac:dyDescent="0.2">
      <c r="E31" s="370"/>
      <c r="I31" s="96" t="s">
        <v>87</v>
      </c>
    </row>
    <row r="32" spans="1:9" ht="15.75" x14ac:dyDescent="0.25">
      <c r="A32" s="154" t="s">
        <v>384</v>
      </c>
      <c r="B32" s="347"/>
      <c r="C32" s="348"/>
      <c r="D32" s="373"/>
      <c r="E32" s="373"/>
      <c r="I32" s="96" t="s">
        <v>87</v>
      </c>
    </row>
    <row r="33" spans="1:9" ht="14.25" x14ac:dyDescent="0.2">
      <c r="A33" s="160"/>
      <c r="B33" s="124">
        <v>18</v>
      </c>
      <c r="C33" s="106">
        <v>1</v>
      </c>
      <c r="D33" s="373"/>
      <c r="E33" s="373"/>
      <c r="I33" s="96" t="s">
        <v>87</v>
      </c>
    </row>
    <row r="34" spans="1:9" ht="15.75" x14ac:dyDescent="0.25">
      <c r="A34" s="374" t="s">
        <v>154</v>
      </c>
      <c r="B34" s="234">
        <v>1</v>
      </c>
      <c r="C34" s="375">
        <f>SUM(C35:C44)</f>
        <v>0</v>
      </c>
      <c r="I34" s="96" t="s">
        <v>87</v>
      </c>
    </row>
    <row r="35" spans="1:9" ht="14.25" x14ac:dyDescent="0.2">
      <c r="A35" s="376" t="s">
        <v>385</v>
      </c>
      <c r="B35" s="234">
        <v>2</v>
      </c>
      <c r="C35" s="191">
        <f>C59</f>
        <v>0</v>
      </c>
      <c r="I35" s="96" t="s">
        <v>87</v>
      </c>
    </row>
    <row r="36" spans="1:9" ht="14.25" x14ac:dyDescent="0.2">
      <c r="A36" s="366" t="s">
        <v>386</v>
      </c>
      <c r="B36" s="234">
        <v>3</v>
      </c>
      <c r="C36" s="189">
        <f>C62</f>
        <v>0</v>
      </c>
      <c r="I36" s="96" t="s">
        <v>87</v>
      </c>
    </row>
    <row r="37" spans="1:9" ht="14.25" x14ac:dyDescent="0.2">
      <c r="A37" s="360" t="s">
        <v>387</v>
      </c>
      <c r="B37" s="234">
        <v>4</v>
      </c>
      <c r="C37" s="189">
        <f>MAX(0,C63)</f>
        <v>0</v>
      </c>
      <c r="I37" s="96" t="s">
        <v>87</v>
      </c>
    </row>
    <row r="38" spans="1:9" ht="14.25" x14ac:dyDescent="0.2">
      <c r="A38" s="366" t="s">
        <v>388</v>
      </c>
      <c r="B38" s="234">
        <v>5</v>
      </c>
      <c r="C38" s="189">
        <f>MAX(0,C54)</f>
        <v>0</v>
      </c>
      <c r="I38" s="96" t="s">
        <v>87</v>
      </c>
    </row>
    <row r="39" spans="1:9" ht="14.25" x14ac:dyDescent="0.2">
      <c r="A39" s="366" t="s">
        <v>389</v>
      </c>
      <c r="B39" s="234">
        <v>6</v>
      </c>
      <c r="C39" s="189">
        <f>'BCR.Capital resources'!C51</f>
        <v>0</v>
      </c>
      <c r="I39" s="96" t="s">
        <v>87</v>
      </c>
    </row>
    <row r="40" spans="1:9" ht="14.25" x14ac:dyDescent="0.2">
      <c r="A40" s="360" t="s">
        <v>390</v>
      </c>
      <c r="B40" s="234">
        <v>7</v>
      </c>
      <c r="C40" s="377" t="s">
        <v>90</v>
      </c>
      <c r="I40" s="96" t="s">
        <v>87</v>
      </c>
    </row>
    <row r="41" spans="1:9" ht="14.25" x14ac:dyDescent="0.2">
      <c r="A41" s="360" t="s">
        <v>391</v>
      </c>
      <c r="B41" s="234">
        <v>8</v>
      </c>
      <c r="C41" s="377" t="s">
        <v>90</v>
      </c>
      <c r="I41" s="96" t="s">
        <v>87</v>
      </c>
    </row>
    <row r="42" spans="1:9" ht="14.25" x14ac:dyDescent="0.2">
      <c r="A42" s="360" t="s">
        <v>392</v>
      </c>
      <c r="B42" s="234">
        <v>9</v>
      </c>
      <c r="C42" s="377" t="s">
        <v>90</v>
      </c>
      <c r="I42" s="96" t="s">
        <v>87</v>
      </c>
    </row>
    <row r="43" spans="1:9" ht="14.25" x14ac:dyDescent="0.2">
      <c r="A43" s="360" t="s">
        <v>393</v>
      </c>
      <c r="B43" s="234">
        <v>10</v>
      </c>
      <c r="C43" s="189">
        <f>'BCR.Capital resources'!C70</f>
        <v>0</v>
      </c>
      <c r="I43" s="96" t="s">
        <v>87</v>
      </c>
    </row>
    <row r="44" spans="1:9" ht="14.25" x14ac:dyDescent="0.2">
      <c r="A44" s="360" t="s">
        <v>394</v>
      </c>
      <c r="B44" s="234">
        <v>11</v>
      </c>
      <c r="C44" s="378" t="s">
        <v>90</v>
      </c>
      <c r="I44" s="96" t="s">
        <v>87</v>
      </c>
    </row>
    <row r="45" spans="1:9" ht="15.75" x14ac:dyDescent="0.25">
      <c r="A45" s="374" t="s">
        <v>395</v>
      </c>
      <c r="B45" s="234">
        <v>12</v>
      </c>
      <c r="C45" s="379">
        <f>SUM(C46:C47)</f>
        <v>0</v>
      </c>
      <c r="E45" s="380"/>
      <c r="I45" s="96" t="s">
        <v>87</v>
      </c>
    </row>
    <row r="46" spans="1:9" ht="14.25" x14ac:dyDescent="0.2">
      <c r="A46" s="376" t="s">
        <v>396</v>
      </c>
      <c r="B46" s="234">
        <v>13</v>
      </c>
      <c r="C46" s="381" t="s">
        <v>90</v>
      </c>
      <c r="E46" s="380"/>
      <c r="F46" s="370"/>
      <c r="I46" s="96" t="s">
        <v>87</v>
      </c>
    </row>
    <row r="47" spans="1:9" ht="14.25" x14ac:dyDescent="0.2">
      <c r="A47" s="368" t="s">
        <v>397</v>
      </c>
      <c r="B47" s="234">
        <v>14</v>
      </c>
      <c r="C47" s="378" t="s">
        <v>90</v>
      </c>
      <c r="E47" s="380"/>
      <c r="F47" s="370"/>
      <c r="I47" s="96" t="s">
        <v>87</v>
      </c>
    </row>
    <row r="48" spans="1:9" ht="15.75" x14ac:dyDescent="0.25">
      <c r="A48" s="374" t="s">
        <v>398</v>
      </c>
      <c r="B48" s="234"/>
      <c r="C48" s="382"/>
      <c r="E48" s="383"/>
      <c r="F48" s="370"/>
      <c r="I48" s="96" t="s">
        <v>87</v>
      </c>
    </row>
    <row r="49" spans="1:9" ht="14.25" x14ac:dyDescent="0.2">
      <c r="A49" s="384" t="s">
        <v>399</v>
      </c>
      <c r="B49" s="234">
        <v>16</v>
      </c>
      <c r="C49" s="385" t="s">
        <v>90</v>
      </c>
      <c r="E49" s="380"/>
      <c r="F49" s="370"/>
      <c r="I49" s="96" t="s">
        <v>87</v>
      </c>
    </row>
    <row r="50" spans="1:9" ht="14.25" x14ac:dyDescent="0.2">
      <c r="A50" s="360" t="s">
        <v>400</v>
      </c>
      <c r="B50" s="234">
        <v>17</v>
      </c>
      <c r="C50" s="385" t="s">
        <v>90</v>
      </c>
      <c r="E50" s="380"/>
      <c r="F50" s="370"/>
      <c r="I50" s="96" t="s">
        <v>87</v>
      </c>
    </row>
    <row r="51" spans="1:9" ht="14.25" x14ac:dyDescent="0.2">
      <c r="A51" s="384" t="s">
        <v>401</v>
      </c>
      <c r="B51" s="234">
        <v>18</v>
      </c>
      <c r="C51" s="386">
        <f>C49-C50</f>
        <v>0</v>
      </c>
      <c r="E51" s="380"/>
      <c r="F51" s="370"/>
      <c r="I51" s="96" t="s">
        <v>87</v>
      </c>
    </row>
    <row r="52" spans="1:9" ht="14.25" x14ac:dyDescent="0.2">
      <c r="A52" s="387" t="s">
        <v>402</v>
      </c>
      <c r="B52" s="234">
        <v>19</v>
      </c>
      <c r="C52" s="388" t="s">
        <v>90</v>
      </c>
      <c r="E52" s="380"/>
      <c r="F52" s="380"/>
      <c r="I52" s="96" t="s">
        <v>87</v>
      </c>
    </row>
    <row r="53" spans="1:9" ht="14.25" x14ac:dyDescent="0.2">
      <c r="A53" s="360" t="s">
        <v>403</v>
      </c>
      <c r="B53" s="234">
        <v>20</v>
      </c>
      <c r="C53" s="388" t="s">
        <v>90</v>
      </c>
      <c r="E53" s="380"/>
      <c r="F53" s="370"/>
      <c r="I53" s="96" t="s">
        <v>87</v>
      </c>
    </row>
    <row r="54" spans="1:9" ht="14.25" x14ac:dyDescent="0.2">
      <c r="A54" s="387" t="s">
        <v>404</v>
      </c>
      <c r="B54" s="234">
        <v>21</v>
      </c>
      <c r="C54" s="389">
        <f>C52-C53</f>
        <v>0</v>
      </c>
      <c r="E54" s="380"/>
      <c r="F54" s="370"/>
      <c r="I54" s="96" t="s">
        <v>87</v>
      </c>
    </row>
    <row r="55" spans="1:9" ht="14.25" x14ac:dyDescent="0.2">
      <c r="A55" s="360" t="s">
        <v>405</v>
      </c>
      <c r="B55" s="234">
        <v>22</v>
      </c>
      <c r="C55" s="385" t="s">
        <v>90</v>
      </c>
      <c r="E55" s="380"/>
      <c r="F55" s="370"/>
      <c r="I55" s="96" t="s">
        <v>87</v>
      </c>
    </row>
    <row r="56" spans="1:9" ht="14.25" x14ac:dyDescent="0.2">
      <c r="A56" s="384" t="s">
        <v>406</v>
      </c>
      <c r="B56" s="234">
        <v>23</v>
      </c>
      <c r="C56" s="386">
        <f>C54-C55</f>
        <v>0</v>
      </c>
      <c r="E56" s="380"/>
      <c r="F56" s="370"/>
      <c r="I56" s="96" t="s">
        <v>87</v>
      </c>
    </row>
    <row r="57" spans="1:9" ht="14.25" x14ac:dyDescent="0.2">
      <c r="A57" s="384" t="s">
        <v>311</v>
      </c>
      <c r="B57" s="234">
        <v>24</v>
      </c>
      <c r="C57" s="390">
        <f>SUM('BCR.Balance sheet'!H46)</f>
        <v>0</v>
      </c>
      <c r="E57" s="380"/>
      <c r="F57" s="391"/>
      <c r="I57" s="96" t="s">
        <v>87</v>
      </c>
    </row>
    <row r="58" spans="1:9" ht="14.25" x14ac:dyDescent="0.2">
      <c r="A58" s="360" t="s">
        <v>407</v>
      </c>
      <c r="B58" s="234">
        <v>25</v>
      </c>
      <c r="C58" s="388" t="s">
        <v>90</v>
      </c>
      <c r="E58" s="380"/>
      <c r="F58" s="370"/>
      <c r="I58" s="96" t="s">
        <v>87</v>
      </c>
    </row>
    <row r="59" spans="1:9" ht="14.25" x14ac:dyDescent="0.2">
      <c r="A59" s="392" t="s">
        <v>408</v>
      </c>
      <c r="B59" s="234">
        <v>26</v>
      </c>
      <c r="C59" s="386">
        <f>C57-C58</f>
        <v>0</v>
      </c>
      <c r="E59" s="380"/>
      <c r="F59" s="370"/>
      <c r="I59" s="96" t="s">
        <v>87</v>
      </c>
    </row>
    <row r="60" spans="1:9" ht="14.25" x14ac:dyDescent="0.2">
      <c r="A60" s="387" t="s">
        <v>409</v>
      </c>
      <c r="B60" s="234">
        <v>27</v>
      </c>
      <c r="C60" s="388" t="s">
        <v>90</v>
      </c>
      <c r="E60" s="380"/>
      <c r="F60" s="391"/>
      <c r="I60" s="96" t="s">
        <v>87</v>
      </c>
    </row>
    <row r="61" spans="1:9" ht="14.25" x14ac:dyDescent="0.2">
      <c r="A61" s="360" t="s">
        <v>400</v>
      </c>
      <c r="B61" s="234">
        <v>28</v>
      </c>
      <c r="C61" s="388" t="s">
        <v>90</v>
      </c>
      <c r="E61" s="380"/>
      <c r="F61" s="370"/>
      <c r="I61" s="96" t="s">
        <v>87</v>
      </c>
    </row>
    <row r="62" spans="1:9" ht="14.25" x14ac:dyDescent="0.2">
      <c r="A62" s="392" t="s">
        <v>410</v>
      </c>
      <c r="B62" s="234">
        <v>29</v>
      </c>
      <c r="C62" s="389">
        <f>C60-C61</f>
        <v>0</v>
      </c>
      <c r="E62" s="380"/>
      <c r="F62" s="370"/>
      <c r="I62" s="96" t="s">
        <v>87</v>
      </c>
    </row>
    <row r="63" spans="1:9" ht="14.25" x14ac:dyDescent="0.2">
      <c r="A63" s="384" t="s">
        <v>411</v>
      </c>
      <c r="B63" s="234">
        <v>30</v>
      </c>
      <c r="C63" s="385" t="s">
        <v>90</v>
      </c>
      <c r="E63" s="380"/>
      <c r="F63" s="370"/>
      <c r="I63" s="96" t="s">
        <v>87</v>
      </c>
    </row>
    <row r="64" spans="1:9" ht="14.25" x14ac:dyDescent="0.2">
      <c r="A64" s="366" t="s">
        <v>412</v>
      </c>
      <c r="B64" s="234">
        <v>31</v>
      </c>
      <c r="C64" s="385" t="s">
        <v>90</v>
      </c>
      <c r="E64" s="380"/>
      <c r="F64" s="370"/>
      <c r="I64" s="96" t="s">
        <v>87</v>
      </c>
    </row>
    <row r="65" spans="1:9" ht="14.25" x14ac:dyDescent="0.2">
      <c r="A65" s="384" t="s">
        <v>413</v>
      </c>
      <c r="B65" s="234">
        <v>32</v>
      </c>
      <c r="C65" s="389">
        <f>C63-C64</f>
        <v>0</v>
      </c>
      <c r="E65" s="380"/>
      <c r="F65" s="370"/>
      <c r="I65" s="96" t="s">
        <v>87</v>
      </c>
    </row>
    <row r="66" spans="1:9" ht="14.25" x14ac:dyDescent="0.2">
      <c r="A66" s="384" t="s">
        <v>414</v>
      </c>
      <c r="B66" s="234">
        <v>33</v>
      </c>
      <c r="C66" s="385" t="s">
        <v>90</v>
      </c>
      <c r="E66" s="380"/>
      <c r="F66" s="370"/>
      <c r="I66" s="96" t="s">
        <v>87</v>
      </c>
    </row>
    <row r="67" spans="1:9" ht="14.25" x14ac:dyDescent="0.2">
      <c r="A67" s="366" t="s">
        <v>415</v>
      </c>
      <c r="B67" s="234">
        <v>34</v>
      </c>
      <c r="C67" s="385" t="s">
        <v>90</v>
      </c>
      <c r="E67" s="380"/>
      <c r="F67" s="370"/>
      <c r="I67" s="96" t="s">
        <v>87</v>
      </c>
    </row>
    <row r="68" spans="1:9" ht="14.25" x14ac:dyDescent="0.2">
      <c r="A68" s="366" t="s">
        <v>416</v>
      </c>
      <c r="B68" s="234">
        <v>35</v>
      </c>
      <c r="C68" s="385" t="s">
        <v>90</v>
      </c>
      <c r="E68" s="380"/>
      <c r="F68" s="370"/>
      <c r="I68" s="96" t="s">
        <v>87</v>
      </c>
    </row>
    <row r="69" spans="1:9" ht="14.25" x14ac:dyDescent="0.2">
      <c r="A69" s="393" t="s">
        <v>417</v>
      </c>
      <c r="B69" s="234">
        <v>36</v>
      </c>
      <c r="C69" s="385" t="s">
        <v>90</v>
      </c>
      <c r="E69" s="380"/>
      <c r="F69" s="370"/>
      <c r="I69" s="96" t="s">
        <v>87</v>
      </c>
    </row>
    <row r="70" spans="1:9" ht="14.25" x14ac:dyDescent="0.2">
      <c r="A70" s="394" t="s">
        <v>418</v>
      </c>
      <c r="B70" s="261">
        <v>37</v>
      </c>
      <c r="C70" s="395">
        <f>C66-C67-C68-C69</f>
        <v>0</v>
      </c>
      <c r="E70" s="380"/>
      <c r="F70" s="370"/>
      <c r="I70" s="96" t="s">
        <v>87</v>
      </c>
    </row>
    <row r="71" spans="1:9" ht="14.25" x14ac:dyDescent="0.2">
      <c r="I71" s="96" t="s">
        <v>87</v>
      </c>
    </row>
    <row r="72" spans="1:9" ht="14.25" x14ac:dyDescent="0.2">
      <c r="A72" s="96" t="s">
        <v>87</v>
      </c>
      <c r="B72" s="96" t="s">
        <v>87</v>
      </c>
      <c r="C72" s="96" t="s">
        <v>87</v>
      </c>
      <c r="D72" s="96" t="s">
        <v>87</v>
      </c>
      <c r="E72" s="96" t="s">
        <v>87</v>
      </c>
      <c r="F72" s="96" t="s">
        <v>87</v>
      </c>
      <c r="G72" s="96" t="s">
        <v>87</v>
      </c>
      <c r="H72" s="96" t="s">
        <v>87</v>
      </c>
      <c r="I72" s="96" t="s">
        <v>87</v>
      </c>
    </row>
  </sheetData>
  <printOptions horizontalCentered="1"/>
  <pageMargins left="0.25" right="0.25" top="0.75" bottom="0.75" header="0.3" footer="0.3"/>
  <pageSetup paperSize="9" orientation="landscape" horizontalDpi="1200" verticalDpi="1200" r:id="rId1"/>
  <headerFooter alignWithMargins="0">
    <oddFooter>&amp;A</oddFooter>
  </headerFooter>
  <rowBreaks count="1" manualBreakCount="1">
    <brk id="31" max="16383"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rgb="FF0070C0"/>
  </sheetPr>
  <dimension ref="A1:CX148"/>
  <sheetViews>
    <sheetView topLeftCell="A106" zoomScaleNormal="100" workbookViewId="0">
      <selection activeCell="C131" sqref="C131"/>
    </sheetView>
  </sheetViews>
  <sheetFormatPr defaultRowHeight="12.75" x14ac:dyDescent="0.2"/>
  <cols>
    <col min="1" max="1" width="4" customWidth="1"/>
    <col min="2" max="2" width="4.28515625" customWidth="1"/>
    <col min="3" max="3" width="36.7109375" customWidth="1"/>
    <col min="4" max="4" width="16.85546875" customWidth="1"/>
    <col min="5" max="7" width="14.7109375" customWidth="1"/>
    <col min="8" max="8" width="61.28515625" customWidth="1"/>
    <col min="9" max="10" width="11.42578125" customWidth="1"/>
    <col min="11" max="14" width="12.42578125" customWidth="1"/>
    <col min="15" max="15" width="5.85546875" customWidth="1"/>
    <col min="16" max="16" width="13.5703125" customWidth="1"/>
    <col min="17" max="17" width="13" customWidth="1"/>
    <col min="18" max="20" width="11.42578125" customWidth="1"/>
    <col min="21" max="21" width="6.42578125" customWidth="1"/>
    <col min="22" max="22" width="20.28515625" customWidth="1"/>
    <col min="23" max="23" width="11.5703125" customWidth="1"/>
    <col min="24" max="24" width="22" customWidth="1"/>
    <col min="25" max="25" width="24.7109375" customWidth="1"/>
    <col min="26" max="26" width="21.5703125" customWidth="1"/>
    <col min="27" max="27" width="20.28515625" customWidth="1"/>
    <col min="28" max="28" width="15.85546875" customWidth="1"/>
    <col min="29" max="29" width="12.28515625" customWidth="1"/>
    <col min="30" max="31" width="20.28515625" customWidth="1"/>
    <col min="32" max="33" width="11.42578125" customWidth="1"/>
    <col min="34" max="34" width="17.42578125" customWidth="1"/>
    <col min="35" max="35" width="13.28515625" customWidth="1"/>
    <col min="36" max="36" width="12.42578125" customWidth="1"/>
    <col min="37" max="39" width="11.42578125" customWidth="1"/>
    <col min="40" max="40" width="3.85546875" customWidth="1"/>
    <col min="41" max="41" width="20" customWidth="1"/>
    <col min="42" max="42" width="19.85546875" customWidth="1"/>
    <col min="43" max="43" width="3.85546875" customWidth="1"/>
    <col min="44" max="45" width="20" customWidth="1"/>
    <col min="46" max="46" width="3.85546875" customWidth="1"/>
    <col min="47" max="47" width="6.140625" customWidth="1"/>
    <col min="48" max="48" width="2.7109375" customWidth="1"/>
    <col min="49" max="49" width="4.140625" customWidth="1"/>
    <col min="50" max="50" width="9.28515625" customWidth="1"/>
    <col min="51" max="51" width="15.28515625" customWidth="1"/>
    <col min="52" max="55" width="16.140625" customWidth="1"/>
    <col min="56" max="56" width="18.7109375" customWidth="1"/>
    <col min="57" max="57" width="18.140625" customWidth="1"/>
    <col min="58" max="59" width="9" customWidth="1"/>
    <col min="61" max="61" width="26.85546875" customWidth="1"/>
    <col min="62" max="62" width="20.5703125" customWidth="1"/>
    <col min="63" max="63" width="12" customWidth="1"/>
    <col min="64" max="64" width="11.28515625" customWidth="1"/>
    <col min="65" max="65" width="11.7109375" customWidth="1"/>
    <col min="66" max="66" width="13.85546875" customWidth="1"/>
    <col min="67" max="68" width="11.85546875" customWidth="1"/>
    <col min="69" max="69" width="12.28515625" customWidth="1"/>
    <col min="70" max="70" width="16.140625" customWidth="1"/>
    <col min="71" max="71" width="12" customWidth="1"/>
    <col min="72" max="72" width="22" customWidth="1"/>
    <col min="73" max="73" width="23.42578125" customWidth="1"/>
    <col min="74" max="74" width="27.85546875" customWidth="1"/>
    <col min="75" max="75" width="18.85546875" customWidth="1"/>
    <col min="76" max="76" width="17.28515625" customWidth="1"/>
    <col min="77" max="77" width="12.5703125" customWidth="1"/>
    <col min="78" max="78" width="19" customWidth="1"/>
    <col min="79" max="79" width="22.28515625" customWidth="1"/>
    <col min="80" max="80" width="18.5703125" customWidth="1"/>
    <col min="81" max="81" width="21.28515625" customWidth="1"/>
    <col min="82" max="82" width="22.7109375" customWidth="1"/>
    <col min="83" max="85" width="18.5703125" customWidth="1"/>
    <col min="86" max="86" width="2.7109375" customWidth="1"/>
    <col min="89" max="89" width="2.42578125" customWidth="1"/>
    <col min="92" max="92" width="2.7109375" customWidth="1"/>
    <col min="96" max="96" width="2.42578125" customWidth="1"/>
    <col min="97" max="97" width="11.42578125" customWidth="1"/>
    <col min="100" max="100" width="2.7109375" customWidth="1"/>
    <col min="276" max="276" width="3.85546875" customWidth="1"/>
    <col min="277" max="277" width="41.85546875" customWidth="1"/>
    <col min="278" max="278" width="19.140625" customWidth="1"/>
    <col min="279" max="279" width="16.7109375" customWidth="1"/>
    <col min="280" max="280" width="13" customWidth="1"/>
    <col min="281" max="283" width="14.140625" customWidth="1"/>
    <col min="284" max="284" width="6.5703125" customWidth="1"/>
    <col min="285" max="285" width="15.42578125" customWidth="1"/>
    <col min="286" max="286" width="12.28515625" customWidth="1"/>
    <col min="287" max="288" width="13" customWidth="1"/>
    <col min="289" max="289" width="7.28515625" customWidth="1"/>
    <col min="290" max="291" width="23.140625" customWidth="1"/>
    <col min="292" max="292" width="22.85546875" customWidth="1"/>
    <col min="293" max="294" width="22.7109375" customWidth="1"/>
    <col min="295" max="295" width="22.5703125" customWidth="1"/>
    <col min="296" max="296" width="13.5703125" customWidth="1"/>
    <col min="297" max="297" width="10.28515625" bestFit="1" customWidth="1"/>
    <col min="298" max="298" width="22.7109375" customWidth="1"/>
    <col min="299" max="299" width="4.28515625" customWidth="1"/>
    <col min="300" max="300" width="8.7109375" customWidth="1"/>
    <col min="301" max="301" width="1.5703125" customWidth="1"/>
    <col min="302" max="302" width="3" customWidth="1"/>
    <col min="532" max="532" width="3.85546875" customWidth="1"/>
    <col min="533" max="533" width="41.85546875" customWidth="1"/>
    <col min="534" max="534" width="19.140625" customWidth="1"/>
    <col min="535" max="535" width="16.7109375" customWidth="1"/>
    <col min="536" max="536" width="13" customWidth="1"/>
    <col min="537" max="539" width="14.140625" customWidth="1"/>
    <col min="540" max="540" width="6.5703125" customWidth="1"/>
    <col min="541" max="541" width="15.42578125" customWidth="1"/>
    <col min="542" max="542" width="12.28515625" customWidth="1"/>
    <col min="543" max="544" width="13" customWidth="1"/>
    <col min="545" max="545" width="7.28515625" customWidth="1"/>
    <col min="546" max="547" width="23.140625" customWidth="1"/>
    <col min="548" max="548" width="22.85546875" customWidth="1"/>
    <col min="549" max="550" width="22.7109375" customWidth="1"/>
    <col min="551" max="551" width="22.5703125" customWidth="1"/>
    <col min="552" max="552" width="13.5703125" customWidth="1"/>
    <col min="553" max="553" width="10.28515625" bestFit="1" customWidth="1"/>
    <col min="554" max="554" width="22.7109375" customWidth="1"/>
    <col min="555" max="555" width="4.28515625" customWidth="1"/>
    <col min="556" max="556" width="8.7109375" customWidth="1"/>
    <col min="557" max="557" width="1.5703125" customWidth="1"/>
    <col min="558" max="558" width="3" customWidth="1"/>
    <col min="788" max="788" width="3.85546875" customWidth="1"/>
    <col min="789" max="789" width="41.85546875" customWidth="1"/>
    <col min="790" max="790" width="19.140625" customWidth="1"/>
    <col min="791" max="791" width="16.7109375" customWidth="1"/>
    <col min="792" max="792" width="13" customWidth="1"/>
    <col min="793" max="795" width="14.140625" customWidth="1"/>
    <col min="796" max="796" width="6.5703125" customWidth="1"/>
    <col min="797" max="797" width="15.42578125" customWidth="1"/>
    <col min="798" max="798" width="12.28515625" customWidth="1"/>
    <col min="799" max="800" width="13" customWidth="1"/>
    <col min="801" max="801" width="7.28515625" customWidth="1"/>
    <col min="802" max="803" width="23.140625" customWidth="1"/>
    <col min="804" max="804" width="22.85546875" customWidth="1"/>
    <col min="805" max="806" width="22.7109375" customWidth="1"/>
    <col min="807" max="807" width="22.5703125" customWidth="1"/>
    <col min="808" max="808" width="13.5703125" customWidth="1"/>
    <col min="809" max="809" width="10.28515625" bestFit="1" customWidth="1"/>
    <col min="810" max="810" width="22.7109375" customWidth="1"/>
    <col min="811" max="811" width="4.28515625" customWidth="1"/>
    <col min="812" max="812" width="8.7109375" customWidth="1"/>
    <col min="813" max="813" width="1.5703125" customWidth="1"/>
    <col min="814" max="814" width="3" customWidth="1"/>
    <col min="1044" max="1044" width="3.85546875" customWidth="1"/>
    <col min="1045" max="1045" width="41.85546875" customWidth="1"/>
    <col min="1046" max="1046" width="19.140625" customWidth="1"/>
    <col min="1047" max="1047" width="16.7109375" customWidth="1"/>
    <col min="1048" max="1048" width="13" customWidth="1"/>
    <col min="1049" max="1051" width="14.140625" customWidth="1"/>
    <col min="1052" max="1052" width="6.5703125" customWidth="1"/>
    <col min="1053" max="1053" width="15.42578125" customWidth="1"/>
    <col min="1054" max="1054" width="12.28515625" customWidth="1"/>
    <col min="1055" max="1056" width="13" customWidth="1"/>
    <col min="1057" max="1057" width="7.28515625" customWidth="1"/>
    <col min="1058" max="1059" width="23.140625" customWidth="1"/>
    <col min="1060" max="1060" width="22.85546875" customWidth="1"/>
    <col min="1061" max="1062" width="22.7109375" customWidth="1"/>
    <col min="1063" max="1063" width="22.5703125" customWidth="1"/>
    <col min="1064" max="1064" width="13.5703125" customWidth="1"/>
    <col min="1065" max="1065" width="10.28515625" bestFit="1" customWidth="1"/>
    <col min="1066" max="1066" width="22.7109375" customWidth="1"/>
    <col min="1067" max="1067" width="4.28515625" customWidth="1"/>
    <col min="1068" max="1068" width="8.7109375" customWidth="1"/>
    <col min="1069" max="1069" width="1.5703125" customWidth="1"/>
    <col min="1070" max="1070" width="3" customWidth="1"/>
    <col min="1300" max="1300" width="3.85546875" customWidth="1"/>
    <col min="1301" max="1301" width="41.85546875" customWidth="1"/>
    <col min="1302" max="1302" width="19.140625" customWidth="1"/>
    <col min="1303" max="1303" width="16.7109375" customWidth="1"/>
    <col min="1304" max="1304" width="13" customWidth="1"/>
    <col min="1305" max="1307" width="14.140625" customWidth="1"/>
    <col min="1308" max="1308" width="6.5703125" customWidth="1"/>
    <col min="1309" max="1309" width="15.42578125" customWidth="1"/>
    <col min="1310" max="1310" width="12.28515625" customWidth="1"/>
    <col min="1311" max="1312" width="13" customWidth="1"/>
    <col min="1313" max="1313" width="7.28515625" customWidth="1"/>
    <col min="1314" max="1315" width="23.140625" customWidth="1"/>
    <col min="1316" max="1316" width="22.85546875" customWidth="1"/>
    <col min="1317" max="1318" width="22.7109375" customWidth="1"/>
    <col min="1319" max="1319" width="22.5703125" customWidth="1"/>
    <col min="1320" max="1320" width="13.5703125" customWidth="1"/>
    <col min="1321" max="1321" width="10.28515625" bestFit="1" customWidth="1"/>
    <col min="1322" max="1322" width="22.7109375" customWidth="1"/>
    <col min="1323" max="1323" width="4.28515625" customWidth="1"/>
    <col min="1324" max="1324" width="8.7109375" customWidth="1"/>
    <col min="1325" max="1325" width="1.5703125" customWidth="1"/>
    <col min="1326" max="1326" width="3" customWidth="1"/>
    <col min="1556" max="1556" width="3.85546875" customWidth="1"/>
    <col min="1557" max="1557" width="41.85546875" customWidth="1"/>
    <col min="1558" max="1558" width="19.140625" customWidth="1"/>
    <col min="1559" max="1559" width="16.7109375" customWidth="1"/>
    <col min="1560" max="1560" width="13" customWidth="1"/>
    <col min="1561" max="1563" width="14.140625" customWidth="1"/>
    <col min="1564" max="1564" width="6.5703125" customWidth="1"/>
    <col min="1565" max="1565" width="15.42578125" customWidth="1"/>
    <col min="1566" max="1566" width="12.28515625" customWidth="1"/>
    <col min="1567" max="1568" width="13" customWidth="1"/>
    <col min="1569" max="1569" width="7.28515625" customWidth="1"/>
    <col min="1570" max="1571" width="23.140625" customWidth="1"/>
    <col min="1572" max="1572" width="22.85546875" customWidth="1"/>
    <col min="1573" max="1574" width="22.7109375" customWidth="1"/>
    <col min="1575" max="1575" width="22.5703125" customWidth="1"/>
    <col min="1576" max="1576" width="13.5703125" customWidth="1"/>
    <col min="1577" max="1577" width="10.28515625" bestFit="1" customWidth="1"/>
    <col min="1578" max="1578" width="22.7109375" customWidth="1"/>
    <col min="1579" max="1579" width="4.28515625" customWidth="1"/>
    <col min="1580" max="1580" width="8.7109375" customWidth="1"/>
    <col min="1581" max="1581" width="1.5703125" customWidth="1"/>
    <col min="1582" max="1582" width="3" customWidth="1"/>
    <col min="1812" max="1812" width="3.85546875" customWidth="1"/>
    <col min="1813" max="1813" width="41.85546875" customWidth="1"/>
    <col min="1814" max="1814" width="19.140625" customWidth="1"/>
    <col min="1815" max="1815" width="16.7109375" customWidth="1"/>
    <col min="1816" max="1816" width="13" customWidth="1"/>
    <col min="1817" max="1819" width="14.140625" customWidth="1"/>
    <col min="1820" max="1820" width="6.5703125" customWidth="1"/>
    <col min="1821" max="1821" width="15.42578125" customWidth="1"/>
    <col min="1822" max="1822" width="12.28515625" customWidth="1"/>
    <col min="1823" max="1824" width="13" customWidth="1"/>
    <col min="1825" max="1825" width="7.28515625" customWidth="1"/>
    <col min="1826" max="1827" width="23.140625" customWidth="1"/>
    <col min="1828" max="1828" width="22.85546875" customWidth="1"/>
    <col min="1829" max="1830" width="22.7109375" customWidth="1"/>
    <col min="1831" max="1831" width="22.5703125" customWidth="1"/>
    <col min="1832" max="1832" width="13.5703125" customWidth="1"/>
    <col min="1833" max="1833" width="10.28515625" bestFit="1" customWidth="1"/>
    <col min="1834" max="1834" width="22.7109375" customWidth="1"/>
    <col min="1835" max="1835" width="4.28515625" customWidth="1"/>
    <col min="1836" max="1836" width="8.7109375" customWidth="1"/>
    <col min="1837" max="1837" width="1.5703125" customWidth="1"/>
    <col min="1838" max="1838" width="3" customWidth="1"/>
    <col min="2068" max="2068" width="3.85546875" customWidth="1"/>
    <col min="2069" max="2069" width="41.85546875" customWidth="1"/>
    <col min="2070" max="2070" width="19.140625" customWidth="1"/>
    <col min="2071" max="2071" width="16.7109375" customWidth="1"/>
    <col min="2072" max="2072" width="13" customWidth="1"/>
    <col min="2073" max="2075" width="14.140625" customWidth="1"/>
    <col min="2076" max="2076" width="6.5703125" customWidth="1"/>
    <col min="2077" max="2077" width="15.42578125" customWidth="1"/>
    <col min="2078" max="2078" width="12.28515625" customWidth="1"/>
    <col min="2079" max="2080" width="13" customWidth="1"/>
    <col min="2081" max="2081" width="7.28515625" customWidth="1"/>
    <col min="2082" max="2083" width="23.140625" customWidth="1"/>
    <col min="2084" max="2084" width="22.85546875" customWidth="1"/>
    <col min="2085" max="2086" width="22.7109375" customWidth="1"/>
    <col min="2087" max="2087" width="22.5703125" customWidth="1"/>
    <col min="2088" max="2088" width="13.5703125" customWidth="1"/>
    <col min="2089" max="2089" width="10.28515625" bestFit="1" customWidth="1"/>
    <col min="2090" max="2090" width="22.7109375" customWidth="1"/>
    <col min="2091" max="2091" width="4.28515625" customWidth="1"/>
    <col min="2092" max="2092" width="8.7109375" customWidth="1"/>
    <col min="2093" max="2093" width="1.5703125" customWidth="1"/>
    <col min="2094" max="2094" width="3" customWidth="1"/>
    <col min="2324" max="2324" width="3.85546875" customWidth="1"/>
    <col min="2325" max="2325" width="41.85546875" customWidth="1"/>
    <col min="2326" max="2326" width="19.140625" customWidth="1"/>
    <col min="2327" max="2327" width="16.7109375" customWidth="1"/>
    <col min="2328" max="2328" width="13" customWidth="1"/>
    <col min="2329" max="2331" width="14.140625" customWidth="1"/>
    <col min="2332" max="2332" width="6.5703125" customWidth="1"/>
    <col min="2333" max="2333" width="15.42578125" customWidth="1"/>
    <col min="2334" max="2334" width="12.28515625" customWidth="1"/>
    <col min="2335" max="2336" width="13" customWidth="1"/>
    <col min="2337" max="2337" width="7.28515625" customWidth="1"/>
    <col min="2338" max="2339" width="23.140625" customWidth="1"/>
    <col min="2340" max="2340" width="22.85546875" customWidth="1"/>
    <col min="2341" max="2342" width="22.7109375" customWidth="1"/>
    <col min="2343" max="2343" width="22.5703125" customWidth="1"/>
    <col min="2344" max="2344" width="13.5703125" customWidth="1"/>
    <col min="2345" max="2345" width="10.28515625" bestFit="1" customWidth="1"/>
    <col min="2346" max="2346" width="22.7109375" customWidth="1"/>
    <col min="2347" max="2347" width="4.28515625" customWidth="1"/>
    <col min="2348" max="2348" width="8.7109375" customWidth="1"/>
    <col min="2349" max="2349" width="1.5703125" customWidth="1"/>
    <col min="2350" max="2350" width="3" customWidth="1"/>
    <col min="2580" max="2580" width="3.85546875" customWidth="1"/>
    <col min="2581" max="2581" width="41.85546875" customWidth="1"/>
    <col min="2582" max="2582" width="19.140625" customWidth="1"/>
    <col min="2583" max="2583" width="16.7109375" customWidth="1"/>
    <col min="2584" max="2584" width="13" customWidth="1"/>
    <col min="2585" max="2587" width="14.140625" customWidth="1"/>
    <col min="2588" max="2588" width="6.5703125" customWidth="1"/>
    <col min="2589" max="2589" width="15.42578125" customWidth="1"/>
    <col min="2590" max="2590" width="12.28515625" customWidth="1"/>
    <col min="2591" max="2592" width="13" customWidth="1"/>
    <col min="2593" max="2593" width="7.28515625" customWidth="1"/>
    <col min="2594" max="2595" width="23.140625" customWidth="1"/>
    <col min="2596" max="2596" width="22.85546875" customWidth="1"/>
    <col min="2597" max="2598" width="22.7109375" customWidth="1"/>
    <col min="2599" max="2599" width="22.5703125" customWidth="1"/>
    <col min="2600" max="2600" width="13.5703125" customWidth="1"/>
    <col min="2601" max="2601" width="10.28515625" bestFit="1" customWidth="1"/>
    <col min="2602" max="2602" width="22.7109375" customWidth="1"/>
    <col min="2603" max="2603" width="4.28515625" customWidth="1"/>
    <col min="2604" max="2604" width="8.7109375" customWidth="1"/>
    <col min="2605" max="2605" width="1.5703125" customWidth="1"/>
    <col min="2606" max="2606" width="3" customWidth="1"/>
    <col min="2836" max="2836" width="3.85546875" customWidth="1"/>
    <col min="2837" max="2837" width="41.85546875" customWidth="1"/>
    <col min="2838" max="2838" width="19.140625" customWidth="1"/>
    <col min="2839" max="2839" width="16.7109375" customWidth="1"/>
    <col min="2840" max="2840" width="13" customWidth="1"/>
    <col min="2841" max="2843" width="14.140625" customWidth="1"/>
    <col min="2844" max="2844" width="6.5703125" customWidth="1"/>
    <col min="2845" max="2845" width="15.42578125" customWidth="1"/>
    <col min="2846" max="2846" width="12.28515625" customWidth="1"/>
    <col min="2847" max="2848" width="13" customWidth="1"/>
    <col min="2849" max="2849" width="7.28515625" customWidth="1"/>
    <col min="2850" max="2851" width="23.140625" customWidth="1"/>
    <col min="2852" max="2852" width="22.85546875" customWidth="1"/>
    <col min="2853" max="2854" width="22.7109375" customWidth="1"/>
    <col min="2855" max="2855" width="22.5703125" customWidth="1"/>
    <col min="2856" max="2856" width="13.5703125" customWidth="1"/>
    <col min="2857" max="2857" width="10.28515625" bestFit="1" customWidth="1"/>
    <col min="2858" max="2858" width="22.7109375" customWidth="1"/>
    <col min="2859" max="2859" width="4.28515625" customWidth="1"/>
    <col min="2860" max="2860" width="8.7109375" customWidth="1"/>
    <col min="2861" max="2861" width="1.5703125" customWidth="1"/>
    <col min="2862" max="2862" width="3" customWidth="1"/>
    <col min="3092" max="3092" width="3.85546875" customWidth="1"/>
    <col min="3093" max="3093" width="41.85546875" customWidth="1"/>
    <col min="3094" max="3094" width="19.140625" customWidth="1"/>
    <col min="3095" max="3095" width="16.7109375" customWidth="1"/>
    <col min="3096" max="3096" width="13" customWidth="1"/>
    <col min="3097" max="3099" width="14.140625" customWidth="1"/>
    <col min="3100" max="3100" width="6.5703125" customWidth="1"/>
    <col min="3101" max="3101" width="15.42578125" customWidth="1"/>
    <col min="3102" max="3102" width="12.28515625" customWidth="1"/>
    <col min="3103" max="3104" width="13" customWidth="1"/>
    <col min="3105" max="3105" width="7.28515625" customWidth="1"/>
    <col min="3106" max="3107" width="23.140625" customWidth="1"/>
    <col min="3108" max="3108" width="22.85546875" customWidth="1"/>
    <col min="3109" max="3110" width="22.7109375" customWidth="1"/>
    <col min="3111" max="3111" width="22.5703125" customWidth="1"/>
    <col min="3112" max="3112" width="13.5703125" customWidth="1"/>
    <col min="3113" max="3113" width="10.28515625" bestFit="1" customWidth="1"/>
    <col min="3114" max="3114" width="22.7109375" customWidth="1"/>
    <col min="3115" max="3115" width="4.28515625" customWidth="1"/>
    <col min="3116" max="3116" width="8.7109375" customWidth="1"/>
    <col min="3117" max="3117" width="1.5703125" customWidth="1"/>
    <col min="3118" max="3118" width="3" customWidth="1"/>
    <col min="3348" max="3348" width="3.85546875" customWidth="1"/>
    <col min="3349" max="3349" width="41.85546875" customWidth="1"/>
    <col min="3350" max="3350" width="19.140625" customWidth="1"/>
    <col min="3351" max="3351" width="16.7109375" customWidth="1"/>
    <col min="3352" max="3352" width="13" customWidth="1"/>
    <col min="3353" max="3355" width="14.140625" customWidth="1"/>
    <col min="3356" max="3356" width="6.5703125" customWidth="1"/>
    <col min="3357" max="3357" width="15.42578125" customWidth="1"/>
    <col min="3358" max="3358" width="12.28515625" customWidth="1"/>
    <col min="3359" max="3360" width="13" customWidth="1"/>
    <col min="3361" max="3361" width="7.28515625" customWidth="1"/>
    <col min="3362" max="3363" width="23.140625" customWidth="1"/>
    <col min="3364" max="3364" width="22.85546875" customWidth="1"/>
    <col min="3365" max="3366" width="22.7109375" customWidth="1"/>
    <col min="3367" max="3367" width="22.5703125" customWidth="1"/>
    <col min="3368" max="3368" width="13.5703125" customWidth="1"/>
    <col min="3369" max="3369" width="10.28515625" bestFit="1" customWidth="1"/>
    <col min="3370" max="3370" width="22.7109375" customWidth="1"/>
    <col min="3371" max="3371" width="4.28515625" customWidth="1"/>
    <col min="3372" max="3372" width="8.7109375" customWidth="1"/>
    <col min="3373" max="3373" width="1.5703125" customWidth="1"/>
    <col min="3374" max="3374" width="3" customWidth="1"/>
    <col min="3604" max="3604" width="3.85546875" customWidth="1"/>
    <col min="3605" max="3605" width="41.85546875" customWidth="1"/>
    <col min="3606" max="3606" width="19.140625" customWidth="1"/>
    <col min="3607" max="3607" width="16.7109375" customWidth="1"/>
    <col min="3608" max="3608" width="13" customWidth="1"/>
    <col min="3609" max="3611" width="14.140625" customWidth="1"/>
    <col min="3612" max="3612" width="6.5703125" customWidth="1"/>
    <col min="3613" max="3613" width="15.42578125" customWidth="1"/>
    <col min="3614" max="3614" width="12.28515625" customWidth="1"/>
    <col min="3615" max="3616" width="13" customWidth="1"/>
    <col min="3617" max="3617" width="7.28515625" customWidth="1"/>
    <col min="3618" max="3619" width="23.140625" customWidth="1"/>
    <col min="3620" max="3620" width="22.85546875" customWidth="1"/>
    <col min="3621" max="3622" width="22.7109375" customWidth="1"/>
    <col min="3623" max="3623" width="22.5703125" customWidth="1"/>
    <col min="3624" max="3624" width="13.5703125" customWidth="1"/>
    <col min="3625" max="3625" width="10.28515625" bestFit="1" customWidth="1"/>
    <col min="3626" max="3626" width="22.7109375" customWidth="1"/>
    <col min="3627" max="3627" width="4.28515625" customWidth="1"/>
    <col min="3628" max="3628" width="8.7109375" customWidth="1"/>
    <col min="3629" max="3629" width="1.5703125" customWidth="1"/>
    <col min="3630" max="3630" width="3" customWidth="1"/>
    <col min="3860" max="3860" width="3.85546875" customWidth="1"/>
    <col min="3861" max="3861" width="41.85546875" customWidth="1"/>
    <col min="3862" max="3862" width="19.140625" customWidth="1"/>
    <col min="3863" max="3863" width="16.7109375" customWidth="1"/>
    <col min="3864" max="3864" width="13" customWidth="1"/>
    <col min="3865" max="3867" width="14.140625" customWidth="1"/>
    <col min="3868" max="3868" width="6.5703125" customWidth="1"/>
    <col min="3869" max="3869" width="15.42578125" customWidth="1"/>
    <col min="3870" max="3870" width="12.28515625" customWidth="1"/>
    <col min="3871" max="3872" width="13" customWidth="1"/>
    <col min="3873" max="3873" width="7.28515625" customWidth="1"/>
    <col min="3874" max="3875" width="23.140625" customWidth="1"/>
    <col min="3876" max="3876" width="22.85546875" customWidth="1"/>
    <col min="3877" max="3878" width="22.7109375" customWidth="1"/>
    <col min="3879" max="3879" width="22.5703125" customWidth="1"/>
    <col min="3880" max="3880" width="13.5703125" customWidth="1"/>
    <col min="3881" max="3881" width="10.28515625" bestFit="1" customWidth="1"/>
    <col min="3882" max="3882" width="22.7109375" customWidth="1"/>
    <col min="3883" max="3883" width="4.28515625" customWidth="1"/>
    <col min="3884" max="3884" width="8.7109375" customWidth="1"/>
    <col min="3885" max="3885" width="1.5703125" customWidth="1"/>
    <col min="3886" max="3886" width="3" customWidth="1"/>
    <col min="4116" max="4116" width="3.85546875" customWidth="1"/>
    <col min="4117" max="4117" width="41.85546875" customWidth="1"/>
    <col min="4118" max="4118" width="19.140625" customWidth="1"/>
    <col min="4119" max="4119" width="16.7109375" customWidth="1"/>
    <col min="4120" max="4120" width="13" customWidth="1"/>
    <col min="4121" max="4123" width="14.140625" customWidth="1"/>
    <col min="4124" max="4124" width="6.5703125" customWidth="1"/>
    <col min="4125" max="4125" width="15.42578125" customWidth="1"/>
    <col min="4126" max="4126" width="12.28515625" customWidth="1"/>
    <col min="4127" max="4128" width="13" customWidth="1"/>
    <col min="4129" max="4129" width="7.28515625" customWidth="1"/>
    <col min="4130" max="4131" width="23.140625" customWidth="1"/>
    <col min="4132" max="4132" width="22.85546875" customWidth="1"/>
    <col min="4133" max="4134" width="22.7109375" customWidth="1"/>
    <col min="4135" max="4135" width="22.5703125" customWidth="1"/>
    <col min="4136" max="4136" width="13.5703125" customWidth="1"/>
    <col min="4137" max="4137" width="10.28515625" bestFit="1" customWidth="1"/>
    <col min="4138" max="4138" width="22.7109375" customWidth="1"/>
    <col min="4139" max="4139" width="4.28515625" customWidth="1"/>
    <col min="4140" max="4140" width="8.7109375" customWidth="1"/>
    <col min="4141" max="4141" width="1.5703125" customWidth="1"/>
    <col min="4142" max="4142" width="3" customWidth="1"/>
    <col min="4372" max="4372" width="3.85546875" customWidth="1"/>
    <col min="4373" max="4373" width="41.85546875" customWidth="1"/>
    <col min="4374" max="4374" width="19.140625" customWidth="1"/>
    <col min="4375" max="4375" width="16.7109375" customWidth="1"/>
    <col min="4376" max="4376" width="13" customWidth="1"/>
    <col min="4377" max="4379" width="14.140625" customWidth="1"/>
    <col min="4380" max="4380" width="6.5703125" customWidth="1"/>
    <col min="4381" max="4381" width="15.42578125" customWidth="1"/>
    <col min="4382" max="4382" width="12.28515625" customWidth="1"/>
    <col min="4383" max="4384" width="13" customWidth="1"/>
    <col min="4385" max="4385" width="7.28515625" customWidth="1"/>
    <col min="4386" max="4387" width="23.140625" customWidth="1"/>
    <col min="4388" max="4388" width="22.85546875" customWidth="1"/>
    <col min="4389" max="4390" width="22.7109375" customWidth="1"/>
    <col min="4391" max="4391" width="22.5703125" customWidth="1"/>
    <col min="4392" max="4392" width="13.5703125" customWidth="1"/>
    <col min="4393" max="4393" width="10.28515625" bestFit="1" customWidth="1"/>
    <col min="4394" max="4394" width="22.7109375" customWidth="1"/>
    <col min="4395" max="4395" width="4.28515625" customWidth="1"/>
    <col min="4396" max="4396" width="8.7109375" customWidth="1"/>
    <col min="4397" max="4397" width="1.5703125" customWidth="1"/>
    <col min="4398" max="4398" width="3" customWidth="1"/>
    <col min="4628" max="4628" width="3.85546875" customWidth="1"/>
    <col min="4629" max="4629" width="41.85546875" customWidth="1"/>
    <col min="4630" max="4630" width="19.140625" customWidth="1"/>
    <col min="4631" max="4631" width="16.7109375" customWidth="1"/>
    <col min="4632" max="4632" width="13" customWidth="1"/>
    <col min="4633" max="4635" width="14.140625" customWidth="1"/>
    <col min="4636" max="4636" width="6.5703125" customWidth="1"/>
    <col min="4637" max="4637" width="15.42578125" customWidth="1"/>
    <col min="4638" max="4638" width="12.28515625" customWidth="1"/>
    <col min="4639" max="4640" width="13" customWidth="1"/>
    <col min="4641" max="4641" width="7.28515625" customWidth="1"/>
    <col min="4642" max="4643" width="23.140625" customWidth="1"/>
    <col min="4644" max="4644" width="22.85546875" customWidth="1"/>
    <col min="4645" max="4646" width="22.7109375" customWidth="1"/>
    <col min="4647" max="4647" width="22.5703125" customWidth="1"/>
    <col min="4648" max="4648" width="13.5703125" customWidth="1"/>
    <col min="4649" max="4649" width="10.28515625" bestFit="1" customWidth="1"/>
    <col min="4650" max="4650" width="22.7109375" customWidth="1"/>
    <col min="4651" max="4651" width="4.28515625" customWidth="1"/>
    <col min="4652" max="4652" width="8.7109375" customWidth="1"/>
    <col min="4653" max="4653" width="1.5703125" customWidth="1"/>
    <col min="4654" max="4654" width="3" customWidth="1"/>
    <col min="4884" max="4884" width="3.85546875" customWidth="1"/>
    <col min="4885" max="4885" width="41.85546875" customWidth="1"/>
    <col min="4886" max="4886" width="19.140625" customWidth="1"/>
    <col min="4887" max="4887" width="16.7109375" customWidth="1"/>
    <col min="4888" max="4888" width="13" customWidth="1"/>
    <col min="4889" max="4891" width="14.140625" customWidth="1"/>
    <col min="4892" max="4892" width="6.5703125" customWidth="1"/>
    <col min="4893" max="4893" width="15.42578125" customWidth="1"/>
    <col min="4894" max="4894" width="12.28515625" customWidth="1"/>
    <col min="4895" max="4896" width="13" customWidth="1"/>
    <col min="4897" max="4897" width="7.28515625" customWidth="1"/>
    <col min="4898" max="4899" width="23.140625" customWidth="1"/>
    <col min="4900" max="4900" width="22.85546875" customWidth="1"/>
    <col min="4901" max="4902" width="22.7109375" customWidth="1"/>
    <col min="4903" max="4903" width="22.5703125" customWidth="1"/>
    <col min="4904" max="4904" width="13.5703125" customWidth="1"/>
    <col min="4905" max="4905" width="10.28515625" bestFit="1" customWidth="1"/>
    <col min="4906" max="4906" width="22.7109375" customWidth="1"/>
    <col min="4907" max="4907" width="4.28515625" customWidth="1"/>
    <col min="4908" max="4908" width="8.7109375" customWidth="1"/>
    <col min="4909" max="4909" width="1.5703125" customWidth="1"/>
    <col min="4910" max="4910" width="3" customWidth="1"/>
    <col min="5140" max="5140" width="3.85546875" customWidth="1"/>
    <col min="5141" max="5141" width="41.85546875" customWidth="1"/>
    <col min="5142" max="5142" width="19.140625" customWidth="1"/>
    <col min="5143" max="5143" width="16.7109375" customWidth="1"/>
    <col min="5144" max="5144" width="13" customWidth="1"/>
    <col min="5145" max="5147" width="14.140625" customWidth="1"/>
    <col min="5148" max="5148" width="6.5703125" customWidth="1"/>
    <col min="5149" max="5149" width="15.42578125" customWidth="1"/>
    <col min="5150" max="5150" width="12.28515625" customWidth="1"/>
    <col min="5151" max="5152" width="13" customWidth="1"/>
    <col min="5153" max="5153" width="7.28515625" customWidth="1"/>
    <col min="5154" max="5155" width="23.140625" customWidth="1"/>
    <col min="5156" max="5156" width="22.85546875" customWidth="1"/>
    <col min="5157" max="5158" width="22.7109375" customWidth="1"/>
    <col min="5159" max="5159" width="22.5703125" customWidth="1"/>
    <col min="5160" max="5160" width="13.5703125" customWidth="1"/>
    <col min="5161" max="5161" width="10.28515625" bestFit="1" customWidth="1"/>
    <col min="5162" max="5162" width="22.7109375" customWidth="1"/>
    <col min="5163" max="5163" width="4.28515625" customWidth="1"/>
    <col min="5164" max="5164" width="8.7109375" customWidth="1"/>
    <col min="5165" max="5165" width="1.5703125" customWidth="1"/>
    <col min="5166" max="5166" width="3" customWidth="1"/>
    <col min="5396" max="5396" width="3.85546875" customWidth="1"/>
    <col min="5397" max="5397" width="41.85546875" customWidth="1"/>
    <col min="5398" max="5398" width="19.140625" customWidth="1"/>
    <col min="5399" max="5399" width="16.7109375" customWidth="1"/>
    <col min="5400" max="5400" width="13" customWidth="1"/>
    <col min="5401" max="5403" width="14.140625" customWidth="1"/>
    <col min="5404" max="5404" width="6.5703125" customWidth="1"/>
    <col min="5405" max="5405" width="15.42578125" customWidth="1"/>
    <col min="5406" max="5406" width="12.28515625" customWidth="1"/>
    <col min="5407" max="5408" width="13" customWidth="1"/>
    <col min="5409" max="5409" width="7.28515625" customWidth="1"/>
    <col min="5410" max="5411" width="23.140625" customWidth="1"/>
    <col min="5412" max="5412" width="22.85546875" customWidth="1"/>
    <col min="5413" max="5414" width="22.7109375" customWidth="1"/>
    <col min="5415" max="5415" width="22.5703125" customWidth="1"/>
    <col min="5416" max="5416" width="13.5703125" customWidth="1"/>
    <col min="5417" max="5417" width="10.28515625" bestFit="1" customWidth="1"/>
    <col min="5418" max="5418" width="22.7109375" customWidth="1"/>
    <col min="5419" max="5419" width="4.28515625" customWidth="1"/>
    <col min="5420" max="5420" width="8.7109375" customWidth="1"/>
    <col min="5421" max="5421" width="1.5703125" customWidth="1"/>
    <col min="5422" max="5422" width="3" customWidth="1"/>
    <col min="5652" max="5652" width="3.85546875" customWidth="1"/>
    <col min="5653" max="5653" width="41.85546875" customWidth="1"/>
    <col min="5654" max="5654" width="19.140625" customWidth="1"/>
    <col min="5655" max="5655" width="16.7109375" customWidth="1"/>
    <col min="5656" max="5656" width="13" customWidth="1"/>
    <col min="5657" max="5659" width="14.140625" customWidth="1"/>
    <col min="5660" max="5660" width="6.5703125" customWidth="1"/>
    <col min="5661" max="5661" width="15.42578125" customWidth="1"/>
    <col min="5662" max="5662" width="12.28515625" customWidth="1"/>
    <col min="5663" max="5664" width="13" customWidth="1"/>
    <col min="5665" max="5665" width="7.28515625" customWidth="1"/>
    <col min="5666" max="5667" width="23.140625" customWidth="1"/>
    <col min="5668" max="5668" width="22.85546875" customWidth="1"/>
    <col min="5669" max="5670" width="22.7109375" customWidth="1"/>
    <col min="5671" max="5671" width="22.5703125" customWidth="1"/>
    <col min="5672" max="5672" width="13.5703125" customWidth="1"/>
    <col min="5673" max="5673" width="10.28515625" bestFit="1" customWidth="1"/>
    <col min="5674" max="5674" width="22.7109375" customWidth="1"/>
    <col min="5675" max="5675" width="4.28515625" customWidth="1"/>
    <col min="5676" max="5676" width="8.7109375" customWidth="1"/>
    <col min="5677" max="5677" width="1.5703125" customWidth="1"/>
    <col min="5678" max="5678" width="3" customWidth="1"/>
    <col min="5908" max="5908" width="3.85546875" customWidth="1"/>
    <col min="5909" max="5909" width="41.85546875" customWidth="1"/>
    <col min="5910" max="5910" width="19.140625" customWidth="1"/>
    <col min="5911" max="5911" width="16.7109375" customWidth="1"/>
    <col min="5912" max="5912" width="13" customWidth="1"/>
    <col min="5913" max="5915" width="14.140625" customWidth="1"/>
    <col min="5916" max="5916" width="6.5703125" customWidth="1"/>
    <col min="5917" max="5917" width="15.42578125" customWidth="1"/>
    <col min="5918" max="5918" width="12.28515625" customWidth="1"/>
    <col min="5919" max="5920" width="13" customWidth="1"/>
    <col min="5921" max="5921" width="7.28515625" customWidth="1"/>
    <col min="5922" max="5923" width="23.140625" customWidth="1"/>
    <col min="5924" max="5924" width="22.85546875" customWidth="1"/>
    <col min="5925" max="5926" width="22.7109375" customWidth="1"/>
    <col min="5927" max="5927" width="22.5703125" customWidth="1"/>
    <col min="5928" max="5928" width="13.5703125" customWidth="1"/>
    <col min="5929" max="5929" width="10.28515625" bestFit="1" customWidth="1"/>
    <col min="5930" max="5930" width="22.7109375" customWidth="1"/>
    <col min="5931" max="5931" width="4.28515625" customWidth="1"/>
    <col min="5932" max="5932" width="8.7109375" customWidth="1"/>
    <col min="5933" max="5933" width="1.5703125" customWidth="1"/>
    <col min="5934" max="5934" width="3" customWidth="1"/>
    <col min="6164" max="6164" width="3.85546875" customWidth="1"/>
    <col min="6165" max="6165" width="41.85546875" customWidth="1"/>
    <col min="6166" max="6166" width="19.140625" customWidth="1"/>
    <col min="6167" max="6167" width="16.7109375" customWidth="1"/>
    <col min="6168" max="6168" width="13" customWidth="1"/>
    <col min="6169" max="6171" width="14.140625" customWidth="1"/>
    <col min="6172" max="6172" width="6.5703125" customWidth="1"/>
    <col min="6173" max="6173" width="15.42578125" customWidth="1"/>
    <col min="6174" max="6174" width="12.28515625" customWidth="1"/>
    <col min="6175" max="6176" width="13" customWidth="1"/>
    <col min="6177" max="6177" width="7.28515625" customWidth="1"/>
    <col min="6178" max="6179" width="23.140625" customWidth="1"/>
    <col min="6180" max="6180" width="22.85546875" customWidth="1"/>
    <col min="6181" max="6182" width="22.7109375" customWidth="1"/>
    <col min="6183" max="6183" width="22.5703125" customWidth="1"/>
    <col min="6184" max="6184" width="13.5703125" customWidth="1"/>
    <col min="6185" max="6185" width="10.28515625" bestFit="1" customWidth="1"/>
    <col min="6186" max="6186" width="22.7109375" customWidth="1"/>
    <col min="6187" max="6187" width="4.28515625" customWidth="1"/>
    <col min="6188" max="6188" width="8.7109375" customWidth="1"/>
    <col min="6189" max="6189" width="1.5703125" customWidth="1"/>
    <col min="6190" max="6190" width="3" customWidth="1"/>
    <col min="6420" max="6420" width="3.85546875" customWidth="1"/>
    <col min="6421" max="6421" width="41.85546875" customWidth="1"/>
    <col min="6422" max="6422" width="19.140625" customWidth="1"/>
    <col min="6423" max="6423" width="16.7109375" customWidth="1"/>
    <col min="6424" max="6424" width="13" customWidth="1"/>
    <col min="6425" max="6427" width="14.140625" customWidth="1"/>
    <col min="6428" max="6428" width="6.5703125" customWidth="1"/>
    <col min="6429" max="6429" width="15.42578125" customWidth="1"/>
    <col min="6430" max="6430" width="12.28515625" customWidth="1"/>
    <col min="6431" max="6432" width="13" customWidth="1"/>
    <col min="6433" max="6433" width="7.28515625" customWidth="1"/>
    <col min="6434" max="6435" width="23.140625" customWidth="1"/>
    <col min="6436" max="6436" width="22.85546875" customWidth="1"/>
    <col min="6437" max="6438" width="22.7109375" customWidth="1"/>
    <col min="6439" max="6439" width="22.5703125" customWidth="1"/>
    <col min="6440" max="6440" width="13.5703125" customWidth="1"/>
    <col min="6441" max="6441" width="10.28515625" bestFit="1" customWidth="1"/>
    <col min="6442" max="6442" width="22.7109375" customWidth="1"/>
    <col min="6443" max="6443" width="4.28515625" customWidth="1"/>
    <col min="6444" max="6444" width="8.7109375" customWidth="1"/>
    <col min="6445" max="6445" width="1.5703125" customWidth="1"/>
    <col min="6446" max="6446" width="3" customWidth="1"/>
    <col min="6676" max="6676" width="3.85546875" customWidth="1"/>
    <col min="6677" max="6677" width="41.85546875" customWidth="1"/>
    <col min="6678" max="6678" width="19.140625" customWidth="1"/>
    <col min="6679" max="6679" width="16.7109375" customWidth="1"/>
    <col min="6680" max="6680" width="13" customWidth="1"/>
    <col min="6681" max="6683" width="14.140625" customWidth="1"/>
    <col min="6684" max="6684" width="6.5703125" customWidth="1"/>
    <col min="6685" max="6685" width="15.42578125" customWidth="1"/>
    <col min="6686" max="6686" width="12.28515625" customWidth="1"/>
    <col min="6687" max="6688" width="13" customWidth="1"/>
    <col min="6689" max="6689" width="7.28515625" customWidth="1"/>
    <col min="6690" max="6691" width="23.140625" customWidth="1"/>
    <col min="6692" max="6692" width="22.85546875" customWidth="1"/>
    <col min="6693" max="6694" width="22.7109375" customWidth="1"/>
    <col min="6695" max="6695" width="22.5703125" customWidth="1"/>
    <col min="6696" max="6696" width="13.5703125" customWidth="1"/>
    <col min="6697" max="6697" width="10.28515625" bestFit="1" customWidth="1"/>
    <col min="6698" max="6698" width="22.7109375" customWidth="1"/>
    <col min="6699" max="6699" width="4.28515625" customWidth="1"/>
    <col min="6700" max="6700" width="8.7109375" customWidth="1"/>
    <col min="6701" max="6701" width="1.5703125" customWidth="1"/>
    <col min="6702" max="6702" width="3" customWidth="1"/>
    <col min="6932" max="6932" width="3.85546875" customWidth="1"/>
    <col min="6933" max="6933" width="41.85546875" customWidth="1"/>
    <col min="6934" max="6934" width="19.140625" customWidth="1"/>
    <col min="6935" max="6935" width="16.7109375" customWidth="1"/>
    <col min="6936" max="6936" width="13" customWidth="1"/>
    <col min="6937" max="6939" width="14.140625" customWidth="1"/>
    <col min="6940" max="6940" width="6.5703125" customWidth="1"/>
    <col min="6941" max="6941" width="15.42578125" customWidth="1"/>
    <col min="6942" max="6942" width="12.28515625" customWidth="1"/>
    <col min="6943" max="6944" width="13" customWidth="1"/>
    <col min="6945" max="6945" width="7.28515625" customWidth="1"/>
    <col min="6946" max="6947" width="23.140625" customWidth="1"/>
    <col min="6948" max="6948" width="22.85546875" customWidth="1"/>
    <col min="6949" max="6950" width="22.7109375" customWidth="1"/>
    <col min="6951" max="6951" width="22.5703125" customWidth="1"/>
    <col min="6952" max="6952" width="13.5703125" customWidth="1"/>
    <col min="6953" max="6953" width="10.28515625" bestFit="1" customWidth="1"/>
    <col min="6954" max="6954" width="22.7109375" customWidth="1"/>
    <col min="6955" max="6955" width="4.28515625" customWidth="1"/>
    <col min="6956" max="6956" width="8.7109375" customWidth="1"/>
    <col min="6957" max="6957" width="1.5703125" customWidth="1"/>
    <col min="6958" max="6958" width="3" customWidth="1"/>
    <col min="7188" max="7188" width="3.85546875" customWidth="1"/>
    <col min="7189" max="7189" width="41.85546875" customWidth="1"/>
    <col min="7190" max="7190" width="19.140625" customWidth="1"/>
    <col min="7191" max="7191" width="16.7109375" customWidth="1"/>
    <col min="7192" max="7192" width="13" customWidth="1"/>
    <col min="7193" max="7195" width="14.140625" customWidth="1"/>
    <col min="7196" max="7196" width="6.5703125" customWidth="1"/>
    <col min="7197" max="7197" width="15.42578125" customWidth="1"/>
    <col min="7198" max="7198" width="12.28515625" customWidth="1"/>
    <col min="7199" max="7200" width="13" customWidth="1"/>
    <col min="7201" max="7201" width="7.28515625" customWidth="1"/>
    <col min="7202" max="7203" width="23.140625" customWidth="1"/>
    <col min="7204" max="7204" width="22.85546875" customWidth="1"/>
    <col min="7205" max="7206" width="22.7109375" customWidth="1"/>
    <col min="7207" max="7207" width="22.5703125" customWidth="1"/>
    <col min="7208" max="7208" width="13.5703125" customWidth="1"/>
    <col min="7209" max="7209" width="10.28515625" bestFit="1" customWidth="1"/>
    <col min="7210" max="7210" width="22.7109375" customWidth="1"/>
    <col min="7211" max="7211" width="4.28515625" customWidth="1"/>
    <col min="7212" max="7212" width="8.7109375" customWidth="1"/>
    <col min="7213" max="7213" width="1.5703125" customWidth="1"/>
    <col min="7214" max="7214" width="3" customWidth="1"/>
    <col min="7444" max="7444" width="3.85546875" customWidth="1"/>
    <col min="7445" max="7445" width="41.85546875" customWidth="1"/>
    <col min="7446" max="7446" width="19.140625" customWidth="1"/>
    <col min="7447" max="7447" width="16.7109375" customWidth="1"/>
    <col min="7448" max="7448" width="13" customWidth="1"/>
    <col min="7449" max="7451" width="14.140625" customWidth="1"/>
    <col min="7452" max="7452" width="6.5703125" customWidth="1"/>
    <col min="7453" max="7453" width="15.42578125" customWidth="1"/>
    <col min="7454" max="7454" width="12.28515625" customWidth="1"/>
    <col min="7455" max="7456" width="13" customWidth="1"/>
    <col min="7457" max="7457" width="7.28515625" customWidth="1"/>
    <col min="7458" max="7459" width="23.140625" customWidth="1"/>
    <col min="7460" max="7460" width="22.85546875" customWidth="1"/>
    <col min="7461" max="7462" width="22.7109375" customWidth="1"/>
    <col min="7463" max="7463" width="22.5703125" customWidth="1"/>
    <col min="7464" max="7464" width="13.5703125" customWidth="1"/>
    <col min="7465" max="7465" width="10.28515625" bestFit="1" customWidth="1"/>
    <col min="7466" max="7466" width="22.7109375" customWidth="1"/>
    <col min="7467" max="7467" width="4.28515625" customWidth="1"/>
    <col min="7468" max="7468" width="8.7109375" customWidth="1"/>
    <col min="7469" max="7469" width="1.5703125" customWidth="1"/>
    <col min="7470" max="7470" width="3" customWidth="1"/>
    <col min="7700" max="7700" width="3.85546875" customWidth="1"/>
    <col min="7701" max="7701" width="41.85546875" customWidth="1"/>
    <col min="7702" max="7702" width="19.140625" customWidth="1"/>
    <col min="7703" max="7703" width="16.7109375" customWidth="1"/>
    <col min="7704" max="7704" width="13" customWidth="1"/>
    <col min="7705" max="7707" width="14.140625" customWidth="1"/>
    <col min="7708" max="7708" width="6.5703125" customWidth="1"/>
    <col min="7709" max="7709" width="15.42578125" customWidth="1"/>
    <col min="7710" max="7710" width="12.28515625" customWidth="1"/>
    <col min="7711" max="7712" width="13" customWidth="1"/>
    <col min="7713" max="7713" width="7.28515625" customWidth="1"/>
    <col min="7714" max="7715" width="23.140625" customWidth="1"/>
    <col min="7716" max="7716" width="22.85546875" customWidth="1"/>
    <col min="7717" max="7718" width="22.7109375" customWidth="1"/>
    <col min="7719" max="7719" width="22.5703125" customWidth="1"/>
    <col min="7720" max="7720" width="13.5703125" customWidth="1"/>
    <col min="7721" max="7721" width="10.28515625" bestFit="1" customWidth="1"/>
    <col min="7722" max="7722" width="22.7109375" customWidth="1"/>
    <col min="7723" max="7723" width="4.28515625" customWidth="1"/>
    <col min="7724" max="7724" width="8.7109375" customWidth="1"/>
    <col min="7725" max="7725" width="1.5703125" customWidth="1"/>
    <col min="7726" max="7726" width="3" customWidth="1"/>
    <col min="7956" max="7956" width="3.85546875" customWidth="1"/>
    <col min="7957" max="7957" width="41.85546875" customWidth="1"/>
    <col min="7958" max="7958" width="19.140625" customWidth="1"/>
    <col min="7959" max="7959" width="16.7109375" customWidth="1"/>
    <col min="7960" max="7960" width="13" customWidth="1"/>
    <col min="7961" max="7963" width="14.140625" customWidth="1"/>
    <col min="7964" max="7964" width="6.5703125" customWidth="1"/>
    <col min="7965" max="7965" width="15.42578125" customWidth="1"/>
    <col min="7966" max="7966" width="12.28515625" customWidth="1"/>
    <col min="7967" max="7968" width="13" customWidth="1"/>
    <col min="7969" max="7969" width="7.28515625" customWidth="1"/>
    <col min="7970" max="7971" width="23.140625" customWidth="1"/>
    <col min="7972" max="7972" width="22.85546875" customWidth="1"/>
    <col min="7973" max="7974" width="22.7109375" customWidth="1"/>
    <col min="7975" max="7975" width="22.5703125" customWidth="1"/>
    <col min="7976" max="7976" width="13.5703125" customWidth="1"/>
    <col min="7977" max="7977" width="10.28515625" bestFit="1" customWidth="1"/>
    <col min="7978" max="7978" width="22.7109375" customWidth="1"/>
    <col min="7979" max="7979" width="4.28515625" customWidth="1"/>
    <col min="7980" max="7980" width="8.7109375" customWidth="1"/>
    <col min="7981" max="7981" width="1.5703125" customWidth="1"/>
    <col min="7982" max="7982" width="3" customWidth="1"/>
    <col min="8212" max="8212" width="3.85546875" customWidth="1"/>
    <col min="8213" max="8213" width="41.85546875" customWidth="1"/>
    <col min="8214" max="8214" width="19.140625" customWidth="1"/>
    <col min="8215" max="8215" width="16.7109375" customWidth="1"/>
    <col min="8216" max="8216" width="13" customWidth="1"/>
    <col min="8217" max="8219" width="14.140625" customWidth="1"/>
    <col min="8220" max="8220" width="6.5703125" customWidth="1"/>
    <col min="8221" max="8221" width="15.42578125" customWidth="1"/>
    <col min="8222" max="8222" width="12.28515625" customWidth="1"/>
    <col min="8223" max="8224" width="13" customWidth="1"/>
    <col min="8225" max="8225" width="7.28515625" customWidth="1"/>
    <col min="8226" max="8227" width="23.140625" customWidth="1"/>
    <col min="8228" max="8228" width="22.85546875" customWidth="1"/>
    <col min="8229" max="8230" width="22.7109375" customWidth="1"/>
    <col min="8231" max="8231" width="22.5703125" customWidth="1"/>
    <col min="8232" max="8232" width="13.5703125" customWidth="1"/>
    <col min="8233" max="8233" width="10.28515625" bestFit="1" customWidth="1"/>
    <col min="8234" max="8234" width="22.7109375" customWidth="1"/>
    <col min="8235" max="8235" width="4.28515625" customWidth="1"/>
    <col min="8236" max="8236" width="8.7109375" customWidth="1"/>
    <col min="8237" max="8237" width="1.5703125" customWidth="1"/>
    <col min="8238" max="8238" width="3" customWidth="1"/>
    <col min="8468" max="8468" width="3.85546875" customWidth="1"/>
    <col min="8469" max="8469" width="41.85546875" customWidth="1"/>
    <col min="8470" max="8470" width="19.140625" customWidth="1"/>
    <col min="8471" max="8471" width="16.7109375" customWidth="1"/>
    <col min="8472" max="8472" width="13" customWidth="1"/>
    <col min="8473" max="8475" width="14.140625" customWidth="1"/>
    <col min="8476" max="8476" width="6.5703125" customWidth="1"/>
    <col min="8477" max="8477" width="15.42578125" customWidth="1"/>
    <col min="8478" max="8478" width="12.28515625" customWidth="1"/>
    <col min="8479" max="8480" width="13" customWidth="1"/>
    <col min="8481" max="8481" width="7.28515625" customWidth="1"/>
    <col min="8482" max="8483" width="23.140625" customWidth="1"/>
    <col min="8484" max="8484" width="22.85546875" customWidth="1"/>
    <col min="8485" max="8486" width="22.7109375" customWidth="1"/>
    <col min="8487" max="8487" width="22.5703125" customWidth="1"/>
    <col min="8488" max="8488" width="13.5703125" customWidth="1"/>
    <col min="8489" max="8489" width="10.28515625" bestFit="1" customWidth="1"/>
    <col min="8490" max="8490" width="22.7109375" customWidth="1"/>
    <col min="8491" max="8491" width="4.28515625" customWidth="1"/>
    <col min="8492" max="8492" width="8.7109375" customWidth="1"/>
    <col min="8493" max="8493" width="1.5703125" customWidth="1"/>
    <col min="8494" max="8494" width="3" customWidth="1"/>
    <col min="8724" max="8724" width="3.85546875" customWidth="1"/>
    <col min="8725" max="8725" width="41.85546875" customWidth="1"/>
    <col min="8726" max="8726" width="19.140625" customWidth="1"/>
    <col min="8727" max="8727" width="16.7109375" customWidth="1"/>
    <col min="8728" max="8728" width="13" customWidth="1"/>
    <col min="8729" max="8731" width="14.140625" customWidth="1"/>
    <col min="8732" max="8732" width="6.5703125" customWidth="1"/>
    <col min="8733" max="8733" width="15.42578125" customWidth="1"/>
    <col min="8734" max="8734" width="12.28515625" customWidth="1"/>
    <col min="8735" max="8736" width="13" customWidth="1"/>
    <col min="8737" max="8737" width="7.28515625" customWidth="1"/>
    <col min="8738" max="8739" width="23.140625" customWidth="1"/>
    <col min="8740" max="8740" width="22.85546875" customWidth="1"/>
    <col min="8741" max="8742" width="22.7109375" customWidth="1"/>
    <col min="8743" max="8743" width="22.5703125" customWidth="1"/>
    <col min="8744" max="8744" width="13.5703125" customWidth="1"/>
    <col min="8745" max="8745" width="10.28515625" bestFit="1" customWidth="1"/>
    <col min="8746" max="8746" width="22.7109375" customWidth="1"/>
    <col min="8747" max="8747" width="4.28515625" customWidth="1"/>
    <col min="8748" max="8748" width="8.7109375" customWidth="1"/>
    <col min="8749" max="8749" width="1.5703125" customWidth="1"/>
    <col min="8750" max="8750" width="3" customWidth="1"/>
    <col min="8980" max="8980" width="3.85546875" customWidth="1"/>
    <col min="8981" max="8981" width="41.85546875" customWidth="1"/>
    <col min="8982" max="8982" width="19.140625" customWidth="1"/>
    <col min="8983" max="8983" width="16.7109375" customWidth="1"/>
    <col min="8984" max="8984" width="13" customWidth="1"/>
    <col min="8985" max="8987" width="14.140625" customWidth="1"/>
    <col min="8988" max="8988" width="6.5703125" customWidth="1"/>
    <col min="8989" max="8989" width="15.42578125" customWidth="1"/>
    <col min="8990" max="8990" width="12.28515625" customWidth="1"/>
    <col min="8991" max="8992" width="13" customWidth="1"/>
    <col min="8993" max="8993" width="7.28515625" customWidth="1"/>
    <col min="8994" max="8995" width="23.140625" customWidth="1"/>
    <col min="8996" max="8996" width="22.85546875" customWidth="1"/>
    <col min="8997" max="8998" width="22.7109375" customWidth="1"/>
    <col min="8999" max="8999" width="22.5703125" customWidth="1"/>
    <col min="9000" max="9000" width="13.5703125" customWidth="1"/>
    <col min="9001" max="9001" width="10.28515625" bestFit="1" customWidth="1"/>
    <col min="9002" max="9002" width="22.7109375" customWidth="1"/>
    <col min="9003" max="9003" width="4.28515625" customWidth="1"/>
    <col min="9004" max="9004" width="8.7109375" customWidth="1"/>
    <col min="9005" max="9005" width="1.5703125" customWidth="1"/>
    <col min="9006" max="9006" width="3" customWidth="1"/>
    <col min="9236" max="9236" width="3.85546875" customWidth="1"/>
    <col min="9237" max="9237" width="41.85546875" customWidth="1"/>
    <col min="9238" max="9238" width="19.140625" customWidth="1"/>
    <col min="9239" max="9239" width="16.7109375" customWidth="1"/>
    <col min="9240" max="9240" width="13" customWidth="1"/>
    <col min="9241" max="9243" width="14.140625" customWidth="1"/>
    <col min="9244" max="9244" width="6.5703125" customWidth="1"/>
    <col min="9245" max="9245" width="15.42578125" customWidth="1"/>
    <col min="9246" max="9246" width="12.28515625" customWidth="1"/>
    <col min="9247" max="9248" width="13" customWidth="1"/>
    <col min="9249" max="9249" width="7.28515625" customWidth="1"/>
    <col min="9250" max="9251" width="23.140625" customWidth="1"/>
    <col min="9252" max="9252" width="22.85546875" customWidth="1"/>
    <col min="9253" max="9254" width="22.7109375" customWidth="1"/>
    <col min="9255" max="9255" width="22.5703125" customWidth="1"/>
    <col min="9256" max="9256" width="13.5703125" customWidth="1"/>
    <col min="9257" max="9257" width="10.28515625" bestFit="1" customWidth="1"/>
    <col min="9258" max="9258" width="22.7109375" customWidth="1"/>
    <col min="9259" max="9259" width="4.28515625" customWidth="1"/>
    <col min="9260" max="9260" width="8.7109375" customWidth="1"/>
    <col min="9261" max="9261" width="1.5703125" customWidth="1"/>
    <col min="9262" max="9262" width="3" customWidth="1"/>
    <col min="9492" max="9492" width="3.85546875" customWidth="1"/>
    <col min="9493" max="9493" width="41.85546875" customWidth="1"/>
    <col min="9494" max="9494" width="19.140625" customWidth="1"/>
    <col min="9495" max="9495" width="16.7109375" customWidth="1"/>
    <col min="9496" max="9496" width="13" customWidth="1"/>
    <col min="9497" max="9499" width="14.140625" customWidth="1"/>
    <col min="9500" max="9500" width="6.5703125" customWidth="1"/>
    <col min="9501" max="9501" width="15.42578125" customWidth="1"/>
    <col min="9502" max="9502" width="12.28515625" customWidth="1"/>
    <col min="9503" max="9504" width="13" customWidth="1"/>
    <col min="9505" max="9505" width="7.28515625" customWidth="1"/>
    <col min="9506" max="9507" width="23.140625" customWidth="1"/>
    <col min="9508" max="9508" width="22.85546875" customWidth="1"/>
    <col min="9509" max="9510" width="22.7109375" customWidth="1"/>
    <col min="9511" max="9511" width="22.5703125" customWidth="1"/>
    <col min="9512" max="9512" width="13.5703125" customWidth="1"/>
    <col min="9513" max="9513" width="10.28515625" bestFit="1" customWidth="1"/>
    <col min="9514" max="9514" width="22.7109375" customWidth="1"/>
    <col min="9515" max="9515" width="4.28515625" customWidth="1"/>
    <col min="9516" max="9516" width="8.7109375" customWidth="1"/>
    <col min="9517" max="9517" width="1.5703125" customWidth="1"/>
    <col min="9518" max="9518" width="3" customWidth="1"/>
    <col min="9748" max="9748" width="3.85546875" customWidth="1"/>
    <col min="9749" max="9749" width="41.85546875" customWidth="1"/>
    <col min="9750" max="9750" width="19.140625" customWidth="1"/>
    <col min="9751" max="9751" width="16.7109375" customWidth="1"/>
    <col min="9752" max="9752" width="13" customWidth="1"/>
    <col min="9753" max="9755" width="14.140625" customWidth="1"/>
    <col min="9756" max="9756" width="6.5703125" customWidth="1"/>
    <col min="9757" max="9757" width="15.42578125" customWidth="1"/>
    <col min="9758" max="9758" width="12.28515625" customWidth="1"/>
    <col min="9759" max="9760" width="13" customWidth="1"/>
    <col min="9761" max="9761" width="7.28515625" customWidth="1"/>
    <col min="9762" max="9763" width="23.140625" customWidth="1"/>
    <col min="9764" max="9764" width="22.85546875" customWidth="1"/>
    <col min="9765" max="9766" width="22.7109375" customWidth="1"/>
    <col min="9767" max="9767" width="22.5703125" customWidth="1"/>
    <col min="9768" max="9768" width="13.5703125" customWidth="1"/>
    <col min="9769" max="9769" width="10.28515625" bestFit="1" customWidth="1"/>
    <col min="9770" max="9770" width="22.7109375" customWidth="1"/>
    <col min="9771" max="9771" width="4.28515625" customWidth="1"/>
    <col min="9772" max="9772" width="8.7109375" customWidth="1"/>
    <col min="9773" max="9773" width="1.5703125" customWidth="1"/>
    <col min="9774" max="9774" width="3" customWidth="1"/>
    <col min="10004" max="10004" width="3.85546875" customWidth="1"/>
    <col min="10005" max="10005" width="41.85546875" customWidth="1"/>
    <col min="10006" max="10006" width="19.140625" customWidth="1"/>
    <col min="10007" max="10007" width="16.7109375" customWidth="1"/>
    <col min="10008" max="10008" width="13" customWidth="1"/>
    <col min="10009" max="10011" width="14.140625" customWidth="1"/>
    <col min="10012" max="10012" width="6.5703125" customWidth="1"/>
    <col min="10013" max="10013" width="15.42578125" customWidth="1"/>
    <col min="10014" max="10014" width="12.28515625" customWidth="1"/>
    <col min="10015" max="10016" width="13" customWidth="1"/>
    <col min="10017" max="10017" width="7.28515625" customWidth="1"/>
    <col min="10018" max="10019" width="23.140625" customWidth="1"/>
    <col min="10020" max="10020" width="22.85546875" customWidth="1"/>
    <col min="10021" max="10022" width="22.7109375" customWidth="1"/>
    <col min="10023" max="10023" width="22.5703125" customWidth="1"/>
    <col min="10024" max="10024" width="13.5703125" customWidth="1"/>
    <col min="10025" max="10025" width="10.28515625" bestFit="1" customWidth="1"/>
    <col min="10026" max="10026" width="22.7109375" customWidth="1"/>
    <col min="10027" max="10027" width="4.28515625" customWidth="1"/>
    <col min="10028" max="10028" width="8.7109375" customWidth="1"/>
    <col min="10029" max="10029" width="1.5703125" customWidth="1"/>
    <col min="10030" max="10030" width="3" customWidth="1"/>
    <col min="10260" max="10260" width="3.85546875" customWidth="1"/>
    <col min="10261" max="10261" width="41.85546875" customWidth="1"/>
    <col min="10262" max="10262" width="19.140625" customWidth="1"/>
    <col min="10263" max="10263" width="16.7109375" customWidth="1"/>
    <col min="10264" max="10264" width="13" customWidth="1"/>
    <col min="10265" max="10267" width="14.140625" customWidth="1"/>
    <col min="10268" max="10268" width="6.5703125" customWidth="1"/>
    <col min="10269" max="10269" width="15.42578125" customWidth="1"/>
    <col min="10270" max="10270" width="12.28515625" customWidth="1"/>
    <col min="10271" max="10272" width="13" customWidth="1"/>
    <col min="10273" max="10273" width="7.28515625" customWidth="1"/>
    <col min="10274" max="10275" width="23.140625" customWidth="1"/>
    <col min="10276" max="10276" width="22.85546875" customWidth="1"/>
    <col min="10277" max="10278" width="22.7109375" customWidth="1"/>
    <col min="10279" max="10279" width="22.5703125" customWidth="1"/>
    <col min="10280" max="10280" width="13.5703125" customWidth="1"/>
    <col min="10281" max="10281" width="10.28515625" bestFit="1" customWidth="1"/>
    <col min="10282" max="10282" width="22.7109375" customWidth="1"/>
    <col min="10283" max="10283" width="4.28515625" customWidth="1"/>
    <col min="10284" max="10284" width="8.7109375" customWidth="1"/>
    <col min="10285" max="10285" width="1.5703125" customWidth="1"/>
    <col min="10286" max="10286" width="3" customWidth="1"/>
    <col min="10516" max="10516" width="3.85546875" customWidth="1"/>
    <col min="10517" max="10517" width="41.85546875" customWidth="1"/>
    <col min="10518" max="10518" width="19.140625" customWidth="1"/>
    <col min="10519" max="10519" width="16.7109375" customWidth="1"/>
    <col min="10520" max="10520" width="13" customWidth="1"/>
    <col min="10521" max="10523" width="14.140625" customWidth="1"/>
    <col min="10524" max="10524" width="6.5703125" customWidth="1"/>
    <col min="10525" max="10525" width="15.42578125" customWidth="1"/>
    <col min="10526" max="10526" width="12.28515625" customWidth="1"/>
    <col min="10527" max="10528" width="13" customWidth="1"/>
    <col min="10529" max="10529" width="7.28515625" customWidth="1"/>
    <col min="10530" max="10531" width="23.140625" customWidth="1"/>
    <col min="10532" max="10532" width="22.85546875" customWidth="1"/>
    <col min="10533" max="10534" width="22.7109375" customWidth="1"/>
    <col min="10535" max="10535" width="22.5703125" customWidth="1"/>
    <col min="10536" max="10536" width="13.5703125" customWidth="1"/>
    <col min="10537" max="10537" width="10.28515625" bestFit="1" customWidth="1"/>
    <col min="10538" max="10538" width="22.7109375" customWidth="1"/>
    <col min="10539" max="10539" width="4.28515625" customWidth="1"/>
    <col min="10540" max="10540" width="8.7109375" customWidth="1"/>
    <col min="10541" max="10541" width="1.5703125" customWidth="1"/>
    <col min="10542" max="10542" width="3" customWidth="1"/>
    <col min="10772" max="10772" width="3.85546875" customWidth="1"/>
    <col min="10773" max="10773" width="41.85546875" customWidth="1"/>
    <col min="10774" max="10774" width="19.140625" customWidth="1"/>
    <col min="10775" max="10775" width="16.7109375" customWidth="1"/>
    <col min="10776" max="10776" width="13" customWidth="1"/>
    <col min="10777" max="10779" width="14.140625" customWidth="1"/>
    <col min="10780" max="10780" width="6.5703125" customWidth="1"/>
    <col min="10781" max="10781" width="15.42578125" customWidth="1"/>
    <col min="10782" max="10782" width="12.28515625" customWidth="1"/>
    <col min="10783" max="10784" width="13" customWidth="1"/>
    <col min="10785" max="10785" width="7.28515625" customWidth="1"/>
    <col min="10786" max="10787" width="23.140625" customWidth="1"/>
    <col min="10788" max="10788" width="22.85546875" customWidth="1"/>
    <col min="10789" max="10790" width="22.7109375" customWidth="1"/>
    <col min="10791" max="10791" width="22.5703125" customWidth="1"/>
    <col min="10792" max="10792" width="13.5703125" customWidth="1"/>
    <col min="10793" max="10793" width="10.28515625" bestFit="1" customWidth="1"/>
    <col min="10794" max="10794" width="22.7109375" customWidth="1"/>
    <col min="10795" max="10795" width="4.28515625" customWidth="1"/>
    <col min="10796" max="10796" width="8.7109375" customWidth="1"/>
    <col min="10797" max="10797" width="1.5703125" customWidth="1"/>
    <col min="10798" max="10798" width="3" customWidth="1"/>
    <col min="11028" max="11028" width="3.85546875" customWidth="1"/>
    <col min="11029" max="11029" width="41.85546875" customWidth="1"/>
    <col min="11030" max="11030" width="19.140625" customWidth="1"/>
    <col min="11031" max="11031" width="16.7109375" customWidth="1"/>
    <col min="11032" max="11032" width="13" customWidth="1"/>
    <col min="11033" max="11035" width="14.140625" customWidth="1"/>
    <col min="11036" max="11036" width="6.5703125" customWidth="1"/>
    <col min="11037" max="11037" width="15.42578125" customWidth="1"/>
    <col min="11038" max="11038" width="12.28515625" customWidth="1"/>
    <col min="11039" max="11040" width="13" customWidth="1"/>
    <col min="11041" max="11041" width="7.28515625" customWidth="1"/>
    <col min="11042" max="11043" width="23.140625" customWidth="1"/>
    <col min="11044" max="11044" width="22.85546875" customWidth="1"/>
    <col min="11045" max="11046" width="22.7109375" customWidth="1"/>
    <col min="11047" max="11047" width="22.5703125" customWidth="1"/>
    <col min="11048" max="11048" width="13.5703125" customWidth="1"/>
    <col min="11049" max="11049" width="10.28515625" bestFit="1" customWidth="1"/>
    <col min="11050" max="11050" width="22.7109375" customWidth="1"/>
    <col min="11051" max="11051" width="4.28515625" customWidth="1"/>
    <col min="11052" max="11052" width="8.7109375" customWidth="1"/>
    <col min="11053" max="11053" width="1.5703125" customWidth="1"/>
    <col min="11054" max="11054" width="3" customWidth="1"/>
    <col min="11284" max="11284" width="3.85546875" customWidth="1"/>
    <col min="11285" max="11285" width="41.85546875" customWidth="1"/>
    <col min="11286" max="11286" width="19.140625" customWidth="1"/>
    <col min="11287" max="11287" width="16.7109375" customWidth="1"/>
    <col min="11288" max="11288" width="13" customWidth="1"/>
    <col min="11289" max="11291" width="14.140625" customWidth="1"/>
    <col min="11292" max="11292" width="6.5703125" customWidth="1"/>
    <col min="11293" max="11293" width="15.42578125" customWidth="1"/>
    <col min="11294" max="11294" width="12.28515625" customWidth="1"/>
    <col min="11295" max="11296" width="13" customWidth="1"/>
    <col min="11297" max="11297" width="7.28515625" customWidth="1"/>
    <col min="11298" max="11299" width="23.140625" customWidth="1"/>
    <col min="11300" max="11300" width="22.85546875" customWidth="1"/>
    <col min="11301" max="11302" width="22.7109375" customWidth="1"/>
    <col min="11303" max="11303" width="22.5703125" customWidth="1"/>
    <col min="11304" max="11304" width="13.5703125" customWidth="1"/>
    <col min="11305" max="11305" width="10.28515625" bestFit="1" customWidth="1"/>
    <col min="11306" max="11306" width="22.7109375" customWidth="1"/>
    <col min="11307" max="11307" width="4.28515625" customWidth="1"/>
    <col min="11308" max="11308" width="8.7109375" customWidth="1"/>
    <col min="11309" max="11309" width="1.5703125" customWidth="1"/>
    <col min="11310" max="11310" width="3" customWidth="1"/>
    <col min="11540" max="11540" width="3.85546875" customWidth="1"/>
    <col min="11541" max="11541" width="41.85546875" customWidth="1"/>
    <col min="11542" max="11542" width="19.140625" customWidth="1"/>
    <col min="11543" max="11543" width="16.7109375" customWidth="1"/>
    <col min="11544" max="11544" width="13" customWidth="1"/>
    <col min="11545" max="11547" width="14.140625" customWidth="1"/>
    <col min="11548" max="11548" width="6.5703125" customWidth="1"/>
    <col min="11549" max="11549" width="15.42578125" customWidth="1"/>
    <col min="11550" max="11550" width="12.28515625" customWidth="1"/>
    <col min="11551" max="11552" width="13" customWidth="1"/>
    <col min="11553" max="11553" width="7.28515625" customWidth="1"/>
    <col min="11554" max="11555" width="23.140625" customWidth="1"/>
    <col min="11556" max="11556" width="22.85546875" customWidth="1"/>
    <col min="11557" max="11558" width="22.7109375" customWidth="1"/>
    <col min="11559" max="11559" width="22.5703125" customWidth="1"/>
    <col min="11560" max="11560" width="13.5703125" customWidth="1"/>
    <col min="11561" max="11561" width="10.28515625" bestFit="1" customWidth="1"/>
    <col min="11562" max="11562" width="22.7109375" customWidth="1"/>
    <col min="11563" max="11563" width="4.28515625" customWidth="1"/>
    <col min="11564" max="11564" width="8.7109375" customWidth="1"/>
    <col min="11565" max="11565" width="1.5703125" customWidth="1"/>
    <col min="11566" max="11566" width="3" customWidth="1"/>
    <col min="11796" max="11796" width="3.85546875" customWidth="1"/>
    <col min="11797" max="11797" width="41.85546875" customWidth="1"/>
    <col min="11798" max="11798" width="19.140625" customWidth="1"/>
    <col min="11799" max="11799" width="16.7109375" customWidth="1"/>
    <col min="11800" max="11800" width="13" customWidth="1"/>
    <col min="11801" max="11803" width="14.140625" customWidth="1"/>
    <col min="11804" max="11804" width="6.5703125" customWidth="1"/>
    <col min="11805" max="11805" width="15.42578125" customWidth="1"/>
    <col min="11806" max="11806" width="12.28515625" customWidth="1"/>
    <col min="11807" max="11808" width="13" customWidth="1"/>
    <col min="11809" max="11809" width="7.28515625" customWidth="1"/>
    <col min="11810" max="11811" width="23.140625" customWidth="1"/>
    <col min="11812" max="11812" width="22.85546875" customWidth="1"/>
    <col min="11813" max="11814" width="22.7109375" customWidth="1"/>
    <col min="11815" max="11815" width="22.5703125" customWidth="1"/>
    <col min="11816" max="11816" width="13.5703125" customWidth="1"/>
    <col min="11817" max="11817" width="10.28515625" bestFit="1" customWidth="1"/>
    <col min="11818" max="11818" width="22.7109375" customWidth="1"/>
    <col min="11819" max="11819" width="4.28515625" customWidth="1"/>
    <col min="11820" max="11820" width="8.7109375" customWidth="1"/>
    <col min="11821" max="11821" width="1.5703125" customWidth="1"/>
    <col min="11822" max="11822" width="3" customWidth="1"/>
    <col min="12052" max="12052" width="3.85546875" customWidth="1"/>
    <col min="12053" max="12053" width="41.85546875" customWidth="1"/>
    <col min="12054" max="12054" width="19.140625" customWidth="1"/>
    <col min="12055" max="12055" width="16.7109375" customWidth="1"/>
    <col min="12056" max="12056" width="13" customWidth="1"/>
    <col min="12057" max="12059" width="14.140625" customWidth="1"/>
    <col min="12060" max="12060" width="6.5703125" customWidth="1"/>
    <col min="12061" max="12061" width="15.42578125" customWidth="1"/>
    <col min="12062" max="12062" width="12.28515625" customWidth="1"/>
    <col min="12063" max="12064" width="13" customWidth="1"/>
    <col min="12065" max="12065" width="7.28515625" customWidth="1"/>
    <col min="12066" max="12067" width="23.140625" customWidth="1"/>
    <col min="12068" max="12068" width="22.85546875" customWidth="1"/>
    <col min="12069" max="12070" width="22.7109375" customWidth="1"/>
    <col min="12071" max="12071" width="22.5703125" customWidth="1"/>
    <col min="12072" max="12072" width="13.5703125" customWidth="1"/>
    <col min="12073" max="12073" width="10.28515625" bestFit="1" customWidth="1"/>
    <col min="12074" max="12074" width="22.7109375" customWidth="1"/>
    <col min="12075" max="12075" width="4.28515625" customWidth="1"/>
    <col min="12076" max="12076" width="8.7109375" customWidth="1"/>
    <col min="12077" max="12077" width="1.5703125" customWidth="1"/>
    <col min="12078" max="12078" width="3" customWidth="1"/>
    <col min="12308" max="12308" width="3.85546875" customWidth="1"/>
    <col min="12309" max="12309" width="41.85546875" customWidth="1"/>
    <col min="12310" max="12310" width="19.140625" customWidth="1"/>
    <col min="12311" max="12311" width="16.7109375" customWidth="1"/>
    <col min="12312" max="12312" width="13" customWidth="1"/>
    <col min="12313" max="12315" width="14.140625" customWidth="1"/>
    <col min="12316" max="12316" width="6.5703125" customWidth="1"/>
    <col min="12317" max="12317" width="15.42578125" customWidth="1"/>
    <col min="12318" max="12318" width="12.28515625" customWidth="1"/>
    <col min="12319" max="12320" width="13" customWidth="1"/>
    <col min="12321" max="12321" width="7.28515625" customWidth="1"/>
    <col min="12322" max="12323" width="23.140625" customWidth="1"/>
    <col min="12324" max="12324" width="22.85546875" customWidth="1"/>
    <col min="12325" max="12326" width="22.7109375" customWidth="1"/>
    <col min="12327" max="12327" width="22.5703125" customWidth="1"/>
    <col min="12328" max="12328" width="13.5703125" customWidth="1"/>
    <col min="12329" max="12329" width="10.28515625" bestFit="1" customWidth="1"/>
    <col min="12330" max="12330" width="22.7109375" customWidth="1"/>
    <col min="12331" max="12331" width="4.28515625" customWidth="1"/>
    <col min="12332" max="12332" width="8.7109375" customWidth="1"/>
    <col min="12333" max="12333" width="1.5703125" customWidth="1"/>
    <col min="12334" max="12334" width="3" customWidth="1"/>
    <col min="12564" max="12564" width="3.85546875" customWidth="1"/>
    <col min="12565" max="12565" width="41.85546875" customWidth="1"/>
    <col min="12566" max="12566" width="19.140625" customWidth="1"/>
    <col min="12567" max="12567" width="16.7109375" customWidth="1"/>
    <col min="12568" max="12568" width="13" customWidth="1"/>
    <col min="12569" max="12571" width="14.140625" customWidth="1"/>
    <col min="12572" max="12572" width="6.5703125" customWidth="1"/>
    <col min="12573" max="12573" width="15.42578125" customWidth="1"/>
    <col min="12574" max="12574" width="12.28515625" customWidth="1"/>
    <col min="12575" max="12576" width="13" customWidth="1"/>
    <col min="12577" max="12577" width="7.28515625" customWidth="1"/>
    <col min="12578" max="12579" width="23.140625" customWidth="1"/>
    <col min="12580" max="12580" width="22.85546875" customWidth="1"/>
    <col min="12581" max="12582" width="22.7109375" customWidth="1"/>
    <col min="12583" max="12583" width="22.5703125" customWidth="1"/>
    <col min="12584" max="12584" width="13.5703125" customWidth="1"/>
    <col min="12585" max="12585" width="10.28515625" bestFit="1" customWidth="1"/>
    <col min="12586" max="12586" width="22.7109375" customWidth="1"/>
    <col min="12587" max="12587" width="4.28515625" customWidth="1"/>
    <col min="12588" max="12588" width="8.7109375" customWidth="1"/>
    <col min="12589" max="12589" width="1.5703125" customWidth="1"/>
    <col min="12590" max="12590" width="3" customWidth="1"/>
    <col min="12820" max="12820" width="3.85546875" customWidth="1"/>
    <col min="12821" max="12821" width="41.85546875" customWidth="1"/>
    <col min="12822" max="12822" width="19.140625" customWidth="1"/>
    <col min="12823" max="12823" width="16.7109375" customWidth="1"/>
    <col min="12824" max="12824" width="13" customWidth="1"/>
    <col min="12825" max="12827" width="14.140625" customWidth="1"/>
    <col min="12828" max="12828" width="6.5703125" customWidth="1"/>
    <col min="12829" max="12829" width="15.42578125" customWidth="1"/>
    <col min="12830" max="12830" width="12.28515625" customWidth="1"/>
    <col min="12831" max="12832" width="13" customWidth="1"/>
    <col min="12833" max="12833" width="7.28515625" customWidth="1"/>
    <col min="12834" max="12835" width="23.140625" customWidth="1"/>
    <col min="12836" max="12836" width="22.85546875" customWidth="1"/>
    <col min="12837" max="12838" width="22.7109375" customWidth="1"/>
    <col min="12839" max="12839" width="22.5703125" customWidth="1"/>
    <col min="12840" max="12840" width="13.5703125" customWidth="1"/>
    <col min="12841" max="12841" width="10.28515625" bestFit="1" customWidth="1"/>
    <col min="12842" max="12842" width="22.7109375" customWidth="1"/>
    <col min="12843" max="12843" width="4.28515625" customWidth="1"/>
    <col min="12844" max="12844" width="8.7109375" customWidth="1"/>
    <col min="12845" max="12845" width="1.5703125" customWidth="1"/>
    <col min="12846" max="12846" width="3" customWidth="1"/>
    <col min="13076" max="13076" width="3.85546875" customWidth="1"/>
    <col min="13077" max="13077" width="41.85546875" customWidth="1"/>
    <col min="13078" max="13078" width="19.140625" customWidth="1"/>
    <col min="13079" max="13079" width="16.7109375" customWidth="1"/>
    <col min="13080" max="13080" width="13" customWidth="1"/>
    <col min="13081" max="13083" width="14.140625" customWidth="1"/>
    <col min="13084" max="13084" width="6.5703125" customWidth="1"/>
    <col min="13085" max="13085" width="15.42578125" customWidth="1"/>
    <col min="13086" max="13086" width="12.28515625" customWidth="1"/>
    <col min="13087" max="13088" width="13" customWidth="1"/>
    <col min="13089" max="13089" width="7.28515625" customWidth="1"/>
    <col min="13090" max="13091" width="23.140625" customWidth="1"/>
    <col min="13092" max="13092" width="22.85546875" customWidth="1"/>
    <col min="13093" max="13094" width="22.7109375" customWidth="1"/>
    <col min="13095" max="13095" width="22.5703125" customWidth="1"/>
    <col min="13096" max="13096" width="13.5703125" customWidth="1"/>
    <col min="13097" max="13097" width="10.28515625" bestFit="1" customWidth="1"/>
    <col min="13098" max="13098" width="22.7109375" customWidth="1"/>
    <col min="13099" max="13099" width="4.28515625" customWidth="1"/>
    <col min="13100" max="13100" width="8.7109375" customWidth="1"/>
    <col min="13101" max="13101" width="1.5703125" customWidth="1"/>
    <col min="13102" max="13102" width="3" customWidth="1"/>
    <col min="13332" max="13332" width="3.85546875" customWidth="1"/>
    <col min="13333" max="13333" width="41.85546875" customWidth="1"/>
    <col min="13334" max="13334" width="19.140625" customWidth="1"/>
    <col min="13335" max="13335" width="16.7109375" customWidth="1"/>
    <col min="13336" max="13336" width="13" customWidth="1"/>
    <col min="13337" max="13339" width="14.140625" customWidth="1"/>
    <col min="13340" max="13340" width="6.5703125" customWidth="1"/>
    <col min="13341" max="13341" width="15.42578125" customWidth="1"/>
    <col min="13342" max="13342" width="12.28515625" customWidth="1"/>
    <col min="13343" max="13344" width="13" customWidth="1"/>
    <col min="13345" max="13345" width="7.28515625" customWidth="1"/>
    <col min="13346" max="13347" width="23.140625" customWidth="1"/>
    <col min="13348" max="13348" width="22.85546875" customWidth="1"/>
    <col min="13349" max="13350" width="22.7109375" customWidth="1"/>
    <col min="13351" max="13351" width="22.5703125" customWidth="1"/>
    <col min="13352" max="13352" width="13.5703125" customWidth="1"/>
    <col min="13353" max="13353" width="10.28515625" bestFit="1" customWidth="1"/>
    <col min="13354" max="13354" width="22.7109375" customWidth="1"/>
    <col min="13355" max="13355" width="4.28515625" customWidth="1"/>
    <col min="13356" max="13356" width="8.7109375" customWidth="1"/>
    <col min="13357" max="13357" width="1.5703125" customWidth="1"/>
    <col min="13358" max="13358" width="3" customWidth="1"/>
    <col min="13588" max="13588" width="3.85546875" customWidth="1"/>
    <col min="13589" max="13589" width="41.85546875" customWidth="1"/>
    <col min="13590" max="13590" width="19.140625" customWidth="1"/>
    <col min="13591" max="13591" width="16.7109375" customWidth="1"/>
    <col min="13592" max="13592" width="13" customWidth="1"/>
    <col min="13593" max="13595" width="14.140625" customWidth="1"/>
    <col min="13596" max="13596" width="6.5703125" customWidth="1"/>
    <col min="13597" max="13597" width="15.42578125" customWidth="1"/>
    <col min="13598" max="13598" width="12.28515625" customWidth="1"/>
    <col min="13599" max="13600" width="13" customWidth="1"/>
    <col min="13601" max="13601" width="7.28515625" customWidth="1"/>
    <col min="13602" max="13603" width="23.140625" customWidth="1"/>
    <col min="13604" max="13604" width="22.85546875" customWidth="1"/>
    <col min="13605" max="13606" width="22.7109375" customWidth="1"/>
    <col min="13607" max="13607" width="22.5703125" customWidth="1"/>
    <col min="13608" max="13608" width="13.5703125" customWidth="1"/>
    <col min="13609" max="13609" width="10.28515625" bestFit="1" customWidth="1"/>
    <col min="13610" max="13610" width="22.7109375" customWidth="1"/>
    <col min="13611" max="13611" width="4.28515625" customWidth="1"/>
    <col min="13612" max="13612" width="8.7109375" customWidth="1"/>
    <col min="13613" max="13613" width="1.5703125" customWidth="1"/>
    <col min="13614" max="13614" width="3" customWidth="1"/>
    <col min="13844" max="13844" width="3.85546875" customWidth="1"/>
    <col min="13845" max="13845" width="41.85546875" customWidth="1"/>
    <col min="13846" max="13846" width="19.140625" customWidth="1"/>
    <col min="13847" max="13847" width="16.7109375" customWidth="1"/>
    <col min="13848" max="13848" width="13" customWidth="1"/>
    <col min="13849" max="13851" width="14.140625" customWidth="1"/>
    <col min="13852" max="13852" width="6.5703125" customWidth="1"/>
    <col min="13853" max="13853" width="15.42578125" customWidth="1"/>
    <col min="13854" max="13854" width="12.28515625" customWidth="1"/>
    <col min="13855" max="13856" width="13" customWidth="1"/>
    <col min="13857" max="13857" width="7.28515625" customWidth="1"/>
    <col min="13858" max="13859" width="23.140625" customWidth="1"/>
    <col min="13860" max="13860" width="22.85546875" customWidth="1"/>
    <col min="13861" max="13862" width="22.7109375" customWidth="1"/>
    <col min="13863" max="13863" width="22.5703125" customWidth="1"/>
    <col min="13864" max="13864" width="13.5703125" customWidth="1"/>
    <col min="13865" max="13865" width="10.28515625" bestFit="1" customWidth="1"/>
    <col min="13866" max="13866" width="22.7109375" customWidth="1"/>
    <col min="13867" max="13867" width="4.28515625" customWidth="1"/>
    <col min="13868" max="13868" width="8.7109375" customWidth="1"/>
    <col min="13869" max="13869" width="1.5703125" customWidth="1"/>
    <col min="13870" max="13870" width="3" customWidth="1"/>
    <col min="14100" max="14100" width="3.85546875" customWidth="1"/>
    <col min="14101" max="14101" width="41.85546875" customWidth="1"/>
    <col min="14102" max="14102" width="19.140625" customWidth="1"/>
    <col min="14103" max="14103" width="16.7109375" customWidth="1"/>
    <col min="14104" max="14104" width="13" customWidth="1"/>
    <col min="14105" max="14107" width="14.140625" customWidth="1"/>
    <col min="14108" max="14108" width="6.5703125" customWidth="1"/>
    <col min="14109" max="14109" width="15.42578125" customWidth="1"/>
    <col min="14110" max="14110" width="12.28515625" customWidth="1"/>
    <col min="14111" max="14112" width="13" customWidth="1"/>
    <col min="14113" max="14113" width="7.28515625" customWidth="1"/>
    <col min="14114" max="14115" width="23.140625" customWidth="1"/>
    <col min="14116" max="14116" width="22.85546875" customWidth="1"/>
    <col min="14117" max="14118" width="22.7109375" customWidth="1"/>
    <col min="14119" max="14119" width="22.5703125" customWidth="1"/>
    <col min="14120" max="14120" width="13.5703125" customWidth="1"/>
    <col min="14121" max="14121" width="10.28515625" bestFit="1" customWidth="1"/>
    <col min="14122" max="14122" width="22.7109375" customWidth="1"/>
    <col min="14123" max="14123" width="4.28515625" customWidth="1"/>
    <col min="14124" max="14124" width="8.7109375" customWidth="1"/>
    <col min="14125" max="14125" width="1.5703125" customWidth="1"/>
    <col min="14126" max="14126" width="3" customWidth="1"/>
    <col min="14356" max="14356" width="3.85546875" customWidth="1"/>
    <col min="14357" max="14357" width="41.85546875" customWidth="1"/>
    <col min="14358" max="14358" width="19.140625" customWidth="1"/>
    <col min="14359" max="14359" width="16.7109375" customWidth="1"/>
    <col min="14360" max="14360" width="13" customWidth="1"/>
    <col min="14361" max="14363" width="14.140625" customWidth="1"/>
    <col min="14364" max="14364" width="6.5703125" customWidth="1"/>
    <col min="14365" max="14365" width="15.42578125" customWidth="1"/>
    <col min="14366" max="14366" width="12.28515625" customWidth="1"/>
    <col min="14367" max="14368" width="13" customWidth="1"/>
    <col min="14369" max="14369" width="7.28515625" customWidth="1"/>
    <col min="14370" max="14371" width="23.140625" customWidth="1"/>
    <col min="14372" max="14372" width="22.85546875" customWidth="1"/>
    <col min="14373" max="14374" width="22.7109375" customWidth="1"/>
    <col min="14375" max="14375" width="22.5703125" customWidth="1"/>
    <col min="14376" max="14376" width="13.5703125" customWidth="1"/>
    <col min="14377" max="14377" width="10.28515625" bestFit="1" customWidth="1"/>
    <col min="14378" max="14378" width="22.7109375" customWidth="1"/>
    <col min="14379" max="14379" width="4.28515625" customWidth="1"/>
    <col min="14380" max="14380" width="8.7109375" customWidth="1"/>
    <col min="14381" max="14381" width="1.5703125" customWidth="1"/>
    <col min="14382" max="14382" width="3" customWidth="1"/>
    <col min="14612" max="14612" width="3.85546875" customWidth="1"/>
    <col min="14613" max="14613" width="41.85546875" customWidth="1"/>
    <col min="14614" max="14614" width="19.140625" customWidth="1"/>
    <col min="14615" max="14615" width="16.7109375" customWidth="1"/>
    <col min="14616" max="14616" width="13" customWidth="1"/>
    <col min="14617" max="14619" width="14.140625" customWidth="1"/>
    <col min="14620" max="14620" width="6.5703125" customWidth="1"/>
    <col min="14621" max="14621" width="15.42578125" customWidth="1"/>
    <col min="14622" max="14622" width="12.28515625" customWidth="1"/>
    <col min="14623" max="14624" width="13" customWidth="1"/>
    <col min="14625" max="14625" width="7.28515625" customWidth="1"/>
    <col min="14626" max="14627" width="23.140625" customWidth="1"/>
    <col min="14628" max="14628" width="22.85546875" customWidth="1"/>
    <col min="14629" max="14630" width="22.7109375" customWidth="1"/>
    <col min="14631" max="14631" width="22.5703125" customWidth="1"/>
    <col min="14632" max="14632" width="13.5703125" customWidth="1"/>
    <col min="14633" max="14633" width="10.28515625" bestFit="1" customWidth="1"/>
    <col min="14634" max="14634" width="22.7109375" customWidth="1"/>
    <col min="14635" max="14635" width="4.28515625" customWidth="1"/>
    <col min="14636" max="14636" width="8.7109375" customWidth="1"/>
    <col min="14637" max="14637" width="1.5703125" customWidth="1"/>
    <col min="14638" max="14638" width="3" customWidth="1"/>
    <col min="14868" max="14868" width="3.85546875" customWidth="1"/>
    <col min="14869" max="14869" width="41.85546875" customWidth="1"/>
    <col min="14870" max="14870" width="19.140625" customWidth="1"/>
    <col min="14871" max="14871" width="16.7109375" customWidth="1"/>
    <col min="14872" max="14872" width="13" customWidth="1"/>
    <col min="14873" max="14875" width="14.140625" customWidth="1"/>
    <col min="14876" max="14876" width="6.5703125" customWidth="1"/>
    <col min="14877" max="14877" width="15.42578125" customWidth="1"/>
    <col min="14878" max="14878" width="12.28515625" customWidth="1"/>
    <col min="14879" max="14880" width="13" customWidth="1"/>
    <col min="14881" max="14881" width="7.28515625" customWidth="1"/>
    <col min="14882" max="14883" width="23.140625" customWidth="1"/>
    <col min="14884" max="14884" width="22.85546875" customWidth="1"/>
    <col min="14885" max="14886" width="22.7109375" customWidth="1"/>
    <col min="14887" max="14887" width="22.5703125" customWidth="1"/>
    <col min="14888" max="14888" width="13.5703125" customWidth="1"/>
    <col min="14889" max="14889" width="10.28515625" bestFit="1" customWidth="1"/>
    <col min="14890" max="14890" width="22.7109375" customWidth="1"/>
    <col min="14891" max="14891" width="4.28515625" customWidth="1"/>
    <col min="14892" max="14892" width="8.7109375" customWidth="1"/>
    <col min="14893" max="14893" width="1.5703125" customWidth="1"/>
    <col min="14894" max="14894" width="3" customWidth="1"/>
    <col min="15124" max="15124" width="3.85546875" customWidth="1"/>
    <col min="15125" max="15125" width="41.85546875" customWidth="1"/>
    <col min="15126" max="15126" width="19.140625" customWidth="1"/>
    <col min="15127" max="15127" width="16.7109375" customWidth="1"/>
    <col min="15128" max="15128" width="13" customWidth="1"/>
    <col min="15129" max="15131" width="14.140625" customWidth="1"/>
    <col min="15132" max="15132" width="6.5703125" customWidth="1"/>
    <col min="15133" max="15133" width="15.42578125" customWidth="1"/>
    <col min="15134" max="15134" width="12.28515625" customWidth="1"/>
    <col min="15135" max="15136" width="13" customWidth="1"/>
    <col min="15137" max="15137" width="7.28515625" customWidth="1"/>
    <col min="15138" max="15139" width="23.140625" customWidth="1"/>
    <col min="15140" max="15140" width="22.85546875" customWidth="1"/>
    <col min="15141" max="15142" width="22.7109375" customWidth="1"/>
    <col min="15143" max="15143" width="22.5703125" customWidth="1"/>
    <col min="15144" max="15144" width="13.5703125" customWidth="1"/>
    <col min="15145" max="15145" width="10.28515625" bestFit="1" customWidth="1"/>
    <col min="15146" max="15146" width="22.7109375" customWidth="1"/>
    <col min="15147" max="15147" width="4.28515625" customWidth="1"/>
    <col min="15148" max="15148" width="8.7109375" customWidth="1"/>
    <col min="15149" max="15149" width="1.5703125" customWidth="1"/>
    <col min="15150" max="15150" width="3" customWidth="1"/>
    <col min="15380" max="15380" width="3.85546875" customWidth="1"/>
    <col min="15381" max="15381" width="41.85546875" customWidth="1"/>
    <col min="15382" max="15382" width="19.140625" customWidth="1"/>
    <col min="15383" max="15383" width="16.7109375" customWidth="1"/>
    <col min="15384" max="15384" width="13" customWidth="1"/>
    <col min="15385" max="15387" width="14.140625" customWidth="1"/>
    <col min="15388" max="15388" width="6.5703125" customWidth="1"/>
    <col min="15389" max="15389" width="15.42578125" customWidth="1"/>
    <col min="15390" max="15390" width="12.28515625" customWidth="1"/>
    <col min="15391" max="15392" width="13" customWidth="1"/>
    <col min="15393" max="15393" width="7.28515625" customWidth="1"/>
    <col min="15394" max="15395" width="23.140625" customWidth="1"/>
    <col min="15396" max="15396" width="22.85546875" customWidth="1"/>
    <col min="15397" max="15398" width="22.7109375" customWidth="1"/>
    <col min="15399" max="15399" width="22.5703125" customWidth="1"/>
    <col min="15400" max="15400" width="13.5703125" customWidth="1"/>
    <col min="15401" max="15401" width="10.28515625" bestFit="1" customWidth="1"/>
    <col min="15402" max="15402" width="22.7109375" customWidth="1"/>
    <col min="15403" max="15403" width="4.28515625" customWidth="1"/>
    <col min="15404" max="15404" width="8.7109375" customWidth="1"/>
    <col min="15405" max="15405" width="1.5703125" customWidth="1"/>
    <col min="15406" max="15406" width="3" customWidth="1"/>
    <col min="15636" max="15636" width="3.85546875" customWidth="1"/>
    <col min="15637" max="15637" width="41.85546875" customWidth="1"/>
    <col min="15638" max="15638" width="19.140625" customWidth="1"/>
    <col min="15639" max="15639" width="16.7109375" customWidth="1"/>
    <col min="15640" max="15640" width="13" customWidth="1"/>
    <col min="15641" max="15643" width="14.140625" customWidth="1"/>
    <col min="15644" max="15644" width="6.5703125" customWidth="1"/>
    <col min="15645" max="15645" width="15.42578125" customWidth="1"/>
    <col min="15646" max="15646" width="12.28515625" customWidth="1"/>
    <col min="15647" max="15648" width="13" customWidth="1"/>
    <col min="15649" max="15649" width="7.28515625" customWidth="1"/>
    <col min="15650" max="15651" width="23.140625" customWidth="1"/>
    <col min="15652" max="15652" width="22.85546875" customWidth="1"/>
    <col min="15653" max="15654" width="22.7109375" customWidth="1"/>
    <col min="15655" max="15655" width="22.5703125" customWidth="1"/>
    <col min="15656" max="15656" width="13.5703125" customWidth="1"/>
    <col min="15657" max="15657" width="10.28515625" bestFit="1" customWidth="1"/>
    <col min="15658" max="15658" width="22.7109375" customWidth="1"/>
    <col min="15659" max="15659" width="4.28515625" customWidth="1"/>
    <col min="15660" max="15660" width="8.7109375" customWidth="1"/>
    <col min="15661" max="15661" width="1.5703125" customWidth="1"/>
    <col min="15662" max="15662" width="3" customWidth="1"/>
    <col min="15892" max="15892" width="3.85546875" customWidth="1"/>
    <col min="15893" max="15893" width="41.85546875" customWidth="1"/>
    <col min="15894" max="15894" width="19.140625" customWidth="1"/>
    <col min="15895" max="15895" width="16.7109375" customWidth="1"/>
    <col min="15896" max="15896" width="13" customWidth="1"/>
    <col min="15897" max="15899" width="14.140625" customWidth="1"/>
    <col min="15900" max="15900" width="6.5703125" customWidth="1"/>
    <col min="15901" max="15901" width="15.42578125" customWidth="1"/>
    <col min="15902" max="15902" width="12.28515625" customWidth="1"/>
    <col min="15903" max="15904" width="13" customWidth="1"/>
    <col min="15905" max="15905" width="7.28515625" customWidth="1"/>
    <col min="15906" max="15907" width="23.140625" customWidth="1"/>
    <col min="15908" max="15908" width="22.85546875" customWidth="1"/>
    <col min="15909" max="15910" width="22.7109375" customWidth="1"/>
    <col min="15911" max="15911" width="22.5703125" customWidth="1"/>
    <col min="15912" max="15912" width="13.5703125" customWidth="1"/>
    <col min="15913" max="15913" width="10.28515625" bestFit="1" customWidth="1"/>
    <col min="15914" max="15914" width="22.7109375" customWidth="1"/>
    <col min="15915" max="15915" width="4.28515625" customWidth="1"/>
    <col min="15916" max="15916" width="8.7109375" customWidth="1"/>
    <col min="15917" max="15917" width="1.5703125" customWidth="1"/>
    <col min="15918" max="15918" width="3" customWidth="1"/>
    <col min="16148" max="16148" width="3.85546875" customWidth="1"/>
    <col min="16149" max="16149" width="41.85546875" customWidth="1"/>
    <col min="16150" max="16150" width="19.140625" customWidth="1"/>
    <col min="16151" max="16151" width="16.7109375" customWidth="1"/>
    <col min="16152" max="16152" width="13" customWidth="1"/>
    <col min="16153" max="16155" width="14.140625" customWidth="1"/>
    <col min="16156" max="16156" width="6.5703125" customWidth="1"/>
    <col min="16157" max="16157" width="15.42578125" customWidth="1"/>
    <col min="16158" max="16158" width="12.28515625" customWidth="1"/>
    <col min="16159" max="16160" width="13" customWidth="1"/>
    <col min="16161" max="16161" width="7.28515625" customWidth="1"/>
    <col min="16162" max="16163" width="23.140625" customWidth="1"/>
    <col min="16164" max="16164" width="22.85546875" customWidth="1"/>
    <col min="16165" max="16166" width="22.7109375" customWidth="1"/>
    <col min="16167" max="16167" width="22.5703125" customWidth="1"/>
    <col min="16168" max="16168" width="13.5703125" customWidth="1"/>
    <col min="16169" max="16169" width="10.28515625" bestFit="1" customWidth="1"/>
    <col min="16170" max="16170" width="22.7109375" customWidth="1"/>
    <col min="16171" max="16171" width="4.28515625" customWidth="1"/>
    <col min="16172" max="16172" width="8.7109375" customWidth="1"/>
    <col min="16173" max="16173" width="1.5703125" customWidth="1"/>
    <col min="16174" max="16174" width="3" customWidth="1"/>
  </cols>
  <sheetData>
    <row r="1" spans="2:85" x14ac:dyDescent="0.2">
      <c r="C1" s="93" t="str">
        <f>FT15.Participant!$A$1</f>
        <v>&lt;IAIG's Name&gt;</v>
      </c>
      <c r="D1" s="94"/>
      <c r="E1" s="94"/>
      <c r="F1" s="94"/>
      <c r="G1" s="94"/>
      <c r="H1" s="94"/>
      <c r="I1" s="95" t="str">
        <f ca="1">HYPERLINK("#"&amp;CELL("address",FT15.IndexSheet),Version)</f>
        <v>2015 IAIS Field Testing Template</v>
      </c>
    </row>
    <row r="2" spans="2:85" ht="15" x14ac:dyDescent="0.25">
      <c r="C2" s="97" t="str">
        <f>FT15.Participant!$A$2</f>
        <v>&lt;Currency&gt; - (&lt;Unit&gt;)</v>
      </c>
      <c r="D2" s="98" t="s">
        <v>156</v>
      </c>
      <c r="E2" s="99"/>
      <c r="F2" s="99"/>
      <c r="G2" s="99"/>
      <c r="H2" s="99"/>
      <c r="I2" s="100" t="str">
        <f>FT15.Participant!$E$2</f>
        <v xml:space="preserve">&lt;Reporting Date&gt; - </v>
      </c>
    </row>
    <row r="5" spans="2:85" ht="14.25" customHeight="1" x14ac:dyDescent="0.2">
      <c r="D5" s="148"/>
      <c r="E5" s="148"/>
      <c r="F5" s="148"/>
      <c r="G5" s="148"/>
      <c r="H5" s="148"/>
      <c r="I5" s="148"/>
      <c r="J5" s="148"/>
      <c r="K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35" t="s">
        <v>419</v>
      </c>
      <c r="AT5" s="148"/>
      <c r="AU5" s="148"/>
      <c r="AY5" s="396" t="s">
        <v>420</v>
      </c>
    </row>
    <row r="6" spans="2:85" ht="15" x14ac:dyDescent="0.25">
      <c r="C6" s="397" t="s">
        <v>421</v>
      </c>
      <c r="D6" s="398"/>
      <c r="E6" s="398"/>
      <c r="F6" s="399"/>
      <c r="G6" s="400" t="s">
        <v>422</v>
      </c>
      <c r="H6" s="401"/>
      <c r="I6" s="101"/>
      <c r="J6" s="102"/>
      <c r="K6" s="400" t="s">
        <v>378</v>
      </c>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36"/>
      <c r="AT6" s="148"/>
      <c r="AU6" s="148"/>
      <c r="AY6" s="402" t="s">
        <v>423</v>
      </c>
    </row>
    <row r="7" spans="2:85" x14ac:dyDescent="0.2">
      <c r="B7" s="124">
        <v>19</v>
      </c>
      <c r="C7" s="105"/>
      <c r="D7" s="105"/>
      <c r="E7" s="105"/>
      <c r="F7" s="105"/>
      <c r="G7" s="105">
        <v>1</v>
      </c>
      <c r="H7" s="105"/>
      <c r="I7" s="105"/>
      <c r="J7" s="105"/>
      <c r="K7" s="106">
        <v>2</v>
      </c>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403" t="s">
        <v>424</v>
      </c>
      <c r="AT7" s="148"/>
      <c r="AU7" s="148"/>
      <c r="AY7" s="402" t="s">
        <v>425</v>
      </c>
    </row>
    <row r="8" spans="2:85" x14ac:dyDescent="0.2">
      <c r="B8" s="169">
        <v>1</v>
      </c>
      <c r="C8" s="404" t="s">
        <v>426</v>
      </c>
      <c r="D8" s="405"/>
      <c r="E8" s="405"/>
      <c r="F8" s="406"/>
      <c r="G8" s="219">
        <f>SUM(G9:G11)-SUM(G21)</f>
        <v>0</v>
      </c>
      <c r="H8" s="404" t="s">
        <v>427</v>
      </c>
      <c r="I8" s="405"/>
      <c r="J8" s="406"/>
      <c r="K8" s="407">
        <f>SUM(K9:K11)</f>
        <v>0</v>
      </c>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402" t="s">
        <v>428</v>
      </c>
      <c r="AT8" s="148"/>
      <c r="AU8" s="148"/>
      <c r="AY8" s="402" t="s">
        <v>429</v>
      </c>
    </row>
    <row r="9" spans="2:85" ht="15.75" customHeight="1" x14ac:dyDescent="0.2">
      <c r="B9" s="169">
        <v>2</v>
      </c>
      <c r="C9" s="360" t="s">
        <v>430</v>
      </c>
      <c r="D9" s="408"/>
      <c r="E9" s="408"/>
      <c r="F9" s="409"/>
      <c r="G9" s="282">
        <f>SUMIF($AO$27:$AO$126,"Core",$AP$27:$AP$126)-SUMIFS($AP$27:$AP$126,$AO$27:$AO$126,"Core",$G$27:$G$126,"Y")</f>
        <v>0</v>
      </c>
      <c r="H9" s="360" t="s">
        <v>431</v>
      </c>
      <c r="I9" s="408"/>
      <c r="J9" s="409"/>
      <c r="K9" s="282">
        <f>SUMIF($AO$27:$AO$126,"Additional",$AP$27:$AP$126)-SUMIFS($AP$27:$AP$126,$AO$27:$AO$126,"Additional",$G$27:$G$126,"Y")</f>
        <v>0</v>
      </c>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402" t="s">
        <v>432</v>
      </c>
      <c r="AT9" s="148"/>
      <c r="AU9" s="148"/>
      <c r="AY9" s="402"/>
      <c r="BI9" s="1437" t="s">
        <v>433</v>
      </c>
      <c r="BJ9" s="1437"/>
      <c r="BK9" s="1437"/>
      <c r="BL9" s="410"/>
      <c r="BM9" s="410"/>
      <c r="BN9" s="410"/>
      <c r="BO9" s="410"/>
      <c r="BP9" s="410"/>
      <c r="BQ9" s="410"/>
      <c r="BR9" s="410"/>
      <c r="BS9" s="410"/>
      <c r="BT9" s="411"/>
      <c r="BU9" s="410"/>
      <c r="BV9" s="410"/>
      <c r="BW9" s="410"/>
      <c r="BX9" s="410"/>
      <c r="BY9" s="410"/>
      <c r="BZ9" s="410"/>
      <c r="CA9" s="411"/>
      <c r="CB9" s="411"/>
      <c r="CC9" s="410"/>
      <c r="CD9" s="410"/>
      <c r="CE9" s="410"/>
      <c r="CF9" s="410"/>
      <c r="CG9" s="410"/>
    </row>
    <row r="10" spans="2:85" x14ac:dyDescent="0.2">
      <c r="B10" s="162">
        <v>3</v>
      </c>
      <c r="C10" s="412" t="s">
        <v>434</v>
      </c>
      <c r="D10" s="413"/>
      <c r="E10" s="414"/>
      <c r="F10" s="415"/>
      <c r="G10" s="153">
        <f>SUMIFS($AP$27:$AP$126,$AO$27:$AO$126,"Core",$G$27:$G$126,"Y")</f>
        <v>0</v>
      </c>
      <c r="H10" s="412" t="s">
        <v>435</v>
      </c>
      <c r="I10" s="413"/>
      <c r="J10" s="416"/>
      <c r="K10" s="153">
        <f>SUMIFS($AP$27:$AP$126,$AO$27:$AO$126,"Additional",$G$27:$G$126,"Y")</f>
        <v>0</v>
      </c>
      <c r="N10" s="417"/>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402" t="s">
        <v>436</v>
      </c>
      <c r="AT10" s="148"/>
      <c r="AU10" s="148"/>
      <c r="BJ10" s="418"/>
      <c r="BK10" s="410"/>
      <c r="BL10" s="410"/>
      <c r="BM10" s="410"/>
      <c r="BN10" s="410"/>
      <c r="BO10" s="410"/>
      <c r="BP10" s="419"/>
      <c r="BQ10" s="420"/>
      <c r="BR10" s="420"/>
      <c r="BS10" s="410"/>
      <c r="BT10" s="410"/>
      <c r="BU10" s="410"/>
      <c r="BV10" s="421"/>
      <c r="BW10" s="410"/>
      <c r="BX10" s="410"/>
      <c r="BY10" s="410"/>
      <c r="BZ10" s="410"/>
      <c r="CA10" s="410"/>
      <c r="CB10" s="410"/>
      <c r="CC10" s="410"/>
      <c r="CD10" s="410"/>
      <c r="CE10" s="410"/>
      <c r="CF10" s="410"/>
      <c r="CG10" s="410"/>
    </row>
    <row r="11" spans="2:85" x14ac:dyDescent="0.2">
      <c r="B11" s="162">
        <v>4</v>
      </c>
      <c r="C11" s="422" t="s">
        <v>437</v>
      </c>
      <c r="D11" s="414"/>
      <c r="E11" s="414"/>
      <c r="F11" s="414"/>
      <c r="G11" s="153">
        <f>SUMIF($AO$27:$AO$126,"Core",$AE$27:$AE$126)</f>
        <v>0</v>
      </c>
      <c r="H11" s="422" t="s">
        <v>438</v>
      </c>
      <c r="I11" s="413"/>
      <c r="J11" s="416"/>
      <c r="K11" s="153">
        <f>SUMIF($AO$27:$AO$126,"Additional",$AE$27:$AE$126)</f>
        <v>0</v>
      </c>
      <c r="N11" s="417"/>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T11" s="148"/>
      <c r="AU11" s="148"/>
      <c r="BJ11" s="418"/>
      <c r="BK11" s="410"/>
      <c r="BL11" s="410"/>
      <c r="BM11" s="410"/>
      <c r="BN11" s="410"/>
      <c r="BO11" s="410"/>
      <c r="BP11" s="419"/>
      <c r="BQ11" s="420"/>
      <c r="BR11" s="420"/>
      <c r="BS11" s="410"/>
      <c r="BT11" s="410"/>
      <c r="BU11" s="410"/>
      <c r="BV11" s="421"/>
      <c r="BW11" s="410"/>
      <c r="BX11" s="410"/>
      <c r="BY11" s="410"/>
      <c r="BZ11" s="410"/>
      <c r="CA11" s="410"/>
      <c r="CB11" s="410"/>
      <c r="CC11" s="410"/>
      <c r="CD11" s="410"/>
      <c r="CE11" s="410"/>
      <c r="CF11" s="410"/>
      <c r="CG11" s="410"/>
    </row>
    <row r="12" spans="2:85" ht="15" x14ac:dyDescent="0.25">
      <c r="C12" s="397" t="s">
        <v>439</v>
      </c>
      <c r="D12" s="398"/>
      <c r="E12" s="398"/>
      <c r="F12" s="399"/>
      <c r="G12" s="400" t="s">
        <v>440</v>
      </c>
      <c r="H12" s="401"/>
      <c r="I12" s="101"/>
      <c r="J12" s="102"/>
      <c r="K12" s="400" t="s">
        <v>441</v>
      </c>
      <c r="N12" s="417"/>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T12" s="148"/>
      <c r="AU12" s="148"/>
      <c r="BJ12" s="418"/>
      <c r="BK12" s="410"/>
      <c r="BL12" s="410"/>
      <c r="BM12" s="410"/>
      <c r="BN12" s="410"/>
      <c r="BO12" s="410"/>
      <c r="BP12" s="419"/>
      <c r="BQ12" s="420"/>
      <c r="BR12" s="420"/>
      <c r="BS12" s="410"/>
      <c r="BT12" s="410"/>
      <c r="BU12" s="410"/>
      <c r="BV12" s="421"/>
      <c r="BW12" s="410"/>
      <c r="BX12" s="410"/>
      <c r="BY12" s="410"/>
      <c r="BZ12" s="410"/>
      <c r="CA12" s="410"/>
      <c r="CB12" s="410"/>
      <c r="CC12" s="410"/>
      <c r="CD12" s="410"/>
      <c r="CE12" s="410"/>
      <c r="CF12" s="410"/>
      <c r="CG12" s="410"/>
    </row>
    <row r="13" spans="2:85" x14ac:dyDescent="0.2">
      <c r="B13" s="124">
        <v>20</v>
      </c>
      <c r="C13" s="105"/>
      <c r="D13" s="105"/>
      <c r="E13" s="105"/>
      <c r="F13" s="105"/>
      <c r="G13" s="105">
        <v>1</v>
      </c>
      <c r="H13" s="105"/>
      <c r="I13" s="105"/>
      <c r="J13" s="105"/>
      <c r="K13" s="106">
        <v>2</v>
      </c>
      <c r="N13" s="417"/>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48"/>
      <c r="AQ13" s="148"/>
      <c r="AR13" s="148"/>
      <c r="AT13" s="148"/>
      <c r="AU13" s="148"/>
      <c r="BJ13" s="418"/>
      <c r="BK13" s="410"/>
      <c r="BL13" s="410"/>
      <c r="BM13" s="410"/>
      <c r="BN13" s="410"/>
      <c r="BO13" s="410"/>
      <c r="BP13" s="419"/>
      <c r="BQ13" s="420"/>
      <c r="BR13" s="420"/>
      <c r="BS13" s="410"/>
      <c r="BT13" s="410"/>
      <c r="BU13" s="410"/>
      <c r="BV13" s="421"/>
      <c r="BW13" s="410"/>
      <c r="BX13" s="410"/>
      <c r="BY13" s="410"/>
      <c r="BZ13" s="410"/>
      <c r="CA13" s="410"/>
      <c r="CB13" s="410"/>
      <c r="CC13" s="410"/>
      <c r="CD13" s="410"/>
      <c r="CE13" s="410"/>
      <c r="CF13" s="410"/>
      <c r="CG13" s="410"/>
    </row>
    <row r="14" spans="2:85" x14ac:dyDescent="0.2">
      <c r="B14" s="169">
        <v>1</v>
      </c>
      <c r="C14" s="404" t="s">
        <v>442</v>
      </c>
      <c r="D14" s="408"/>
      <c r="E14" s="408"/>
      <c r="F14" s="409"/>
      <c r="G14" s="423">
        <f>SUM(G15:G18)-SUM(G21)</f>
        <v>0</v>
      </c>
      <c r="H14" s="404" t="s">
        <v>443</v>
      </c>
      <c r="I14" s="405"/>
      <c r="J14" s="406"/>
      <c r="K14" s="423">
        <f>SUM(K15:K18)</f>
        <v>0</v>
      </c>
      <c r="N14" s="417"/>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T14" s="148"/>
      <c r="AU14" s="148"/>
      <c r="BJ14" s="418"/>
      <c r="BK14" s="410"/>
      <c r="BL14" s="410"/>
      <c r="BM14" s="410"/>
      <c r="BN14" s="410"/>
      <c r="BO14" s="410"/>
      <c r="BP14" s="419"/>
      <c r="BQ14" s="420"/>
      <c r="BR14" s="420"/>
      <c r="BS14" s="410"/>
      <c r="BT14" s="410"/>
      <c r="BU14" s="410"/>
      <c r="BV14" s="421"/>
      <c r="BW14" s="410"/>
      <c r="BX14" s="410"/>
      <c r="BY14" s="410"/>
      <c r="BZ14" s="410"/>
      <c r="CA14" s="410"/>
      <c r="CB14" s="410"/>
      <c r="CC14" s="410"/>
      <c r="CD14" s="410"/>
      <c r="CE14" s="410"/>
      <c r="CF14" s="410"/>
      <c r="CG14" s="410"/>
    </row>
    <row r="15" spans="2:85" x14ac:dyDescent="0.2">
      <c r="B15" s="169">
        <v>2</v>
      </c>
      <c r="C15" s="360" t="s">
        <v>444</v>
      </c>
      <c r="D15" s="408"/>
      <c r="E15" s="408"/>
      <c r="F15" s="408"/>
      <c r="G15" s="282">
        <f>SUMIF($AR$27:$AR$126,"Tier 1 unlimited",$AS$27:$AS$126)-SUMIFS($AS$27:$AS$126,$AR$27:$AR$126,"Tier 1 unlimited",$G$27:$G$126,"Y")</f>
        <v>0</v>
      </c>
      <c r="H15" s="360" t="s">
        <v>445</v>
      </c>
      <c r="I15" s="408"/>
      <c r="J15" s="409"/>
      <c r="K15" s="282">
        <f>SUMIF($AR$27:$AR$126,"Tier 2 Paid-Up",$AS$27:$AS$126)-SUMIFS($AS$27:$AS$126,$AR$27:$AR$126,"Tier 2 Paid-Up",$G$27:$G$126,"Y")</f>
        <v>0</v>
      </c>
      <c r="N15" s="417"/>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T15" s="148"/>
      <c r="AU15" s="148"/>
      <c r="BJ15" s="418"/>
      <c r="BK15" s="410"/>
      <c r="BL15" s="410"/>
      <c r="BM15" s="410"/>
      <c r="BN15" s="410"/>
      <c r="BO15" s="410"/>
      <c r="BP15" s="419"/>
      <c r="BQ15" s="420"/>
      <c r="BR15" s="420"/>
      <c r="BS15" s="410"/>
      <c r="BT15" s="410"/>
      <c r="BU15" s="410"/>
      <c r="BV15" s="421"/>
      <c r="BW15" s="410"/>
      <c r="BX15" s="410"/>
      <c r="BY15" s="410"/>
      <c r="BZ15" s="410"/>
      <c r="CA15" s="410"/>
      <c r="CB15" s="410"/>
      <c r="CC15" s="410"/>
      <c r="CD15" s="410"/>
      <c r="CE15" s="410"/>
      <c r="CF15" s="410"/>
      <c r="CG15" s="410"/>
    </row>
    <row r="16" spans="2:85" x14ac:dyDescent="0.2">
      <c r="B16" s="169">
        <v>3</v>
      </c>
      <c r="C16" s="360" t="s">
        <v>446</v>
      </c>
      <c r="D16" s="408"/>
      <c r="E16" s="408"/>
      <c r="F16" s="408"/>
      <c r="G16" s="285">
        <f>SUMIF($AR$27:$AR$126,"Tier 1 limited",$AS$27:$AS$126)-SUMIFS($AS$27:$AS$126,$AR$27:$AR$126,"Tier 1 limited",$G$27:$G$126,"Y")</f>
        <v>0</v>
      </c>
      <c r="H16" s="360" t="s">
        <v>447</v>
      </c>
      <c r="I16" s="408"/>
      <c r="J16" s="409"/>
      <c r="K16" s="284">
        <f>'FT15.Non-Paid-Up Cap Resources'!F12</f>
        <v>0</v>
      </c>
      <c r="N16" s="417"/>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T16" s="148"/>
      <c r="AU16" s="148"/>
      <c r="BJ16" s="418"/>
      <c r="BK16" s="410"/>
      <c r="BL16" s="410"/>
      <c r="BM16" s="410"/>
      <c r="BN16" s="410"/>
      <c r="BO16" s="410"/>
      <c r="BP16" s="419"/>
      <c r="BQ16" s="420"/>
      <c r="BR16" s="420"/>
      <c r="BS16" s="410"/>
      <c r="BT16" s="410"/>
      <c r="BU16" s="410"/>
      <c r="BV16" s="421"/>
      <c r="BW16" s="410"/>
      <c r="BX16" s="410"/>
      <c r="BY16" s="410"/>
      <c r="BZ16" s="410"/>
      <c r="CA16" s="410"/>
      <c r="CB16" s="410"/>
      <c r="CC16" s="410"/>
      <c r="CD16" s="410"/>
      <c r="CE16" s="410"/>
      <c r="CF16" s="410"/>
      <c r="CG16" s="410"/>
    </row>
    <row r="17" spans="2:102" s="410" customFormat="1" x14ac:dyDescent="0.2">
      <c r="B17" s="169">
        <v>4</v>
      </c>
      <c r="C17" s="368" t="s">
        <v>448</v>
      </c>
      <c r="D17" s="414"/>
      <c r="E17" s="414"/>
      <c r="F17" s="414"/>
      <c r="G17" s="153">
        <f>SUMIFS($AS$27:$AS$126,$AR$27:$AR$126,"Tier 1 limited",$G$27:$G$126,"Y")+SUMIFS($AS$27:$AS$126,$AR$27:$AR$126,"Tier 1 unlimited",$G$27:$G$126,"Y")</f>
        <v>0</v>
      </c>
      <c r="H17" s="412" t="s">
        <v>449</v>
      </c>
      <c r="I17" s="413"/>
      <c r="J17" s="416"/>
      <c r="K17" s="153">
        <f>SUMIFS($AS$27:$AS$126,$AR$27:$AR$126,"Tier 2 Paid-Up",$G$27:$G$126,"Y")</f>
        <v>0</v>
      </c>
      <c r="L17" s="424"/>
      <c r="M17" s="424"/>
      <c r="N17" s="424"/>
      <c r="O17" s="424"/>
      <c r="P17" s="424"/>
      <c r="Q17" s="424"/>
      <c r="R17" s="148"/>
      <c r="S17" s="148"/>
      <c r="T17" s="148"/>
      <c r="U17" s="424"/>
      <c r="V17" s="424"/>
      <c r="W17" s="424"/>
      <c r="X17" s="424"/>
      <c r="Y17" s="424"/>
      <c r="Z17" s="424"/>
      <c r="AA17" s="424"/>
      <c r="AB17" s="424"/>
      <c r="AC17" s="424"/>
      <c r="AD17" s="424"/>
      <c r="AE17" s="424"/>
      <c r="AF17" s="148"/>
      <c r="AG17" s="148"/>
      <c r="AH17" s="148"/>
      <c r="AI17" s="148"/>
      <c r="AJ17" s="148"/>
      <c r="AK17" s="148"/>
      <c r="AL17" s="148"/>
      <c r="AM17" s="148"/>
      <c r="AN17" s="424"/>
      <c r="AO17" s="424"/>
      <c r="AP17" s="424"/>
      <c r="AQ17" s="424"/>
      <c r="AS17" s="424"/>
      <c r="AT17" s="424"/>
      <c r="AU17" s="424"/>
      <c r="AV17"/>
      <c r="AW17"/>
      <c r="BI17" s="410" t="s">
        <v>450</v>
      </c>
      <c r="BT17" s="425"/>
      <c r="BV17" s="426"/>
      <c r="CA17" s="421"/>
      <c r="CB17" s="421"/>
      <c r="CD17" s="425"/>
      <c r="CM17" s="425"/>
      <c r="CU17" s="425"/>
    </row>
    <row r="18" spans="2:102" s="410" customFormat="1" x14ac:dyDescent="0.2">
      <c r="B18" s="162">
        <v>5</v>
      </c>
      <c r="C18" s="422" t="s">
        <v>451</v>
      </c>
      <c r="D18" s="414"/>
      <c r="E18" s="414"/>
      <c r="F18" s="414"/>
      <c r="G18" s="153">
        <f>SUMIF($AR$27:$AR$126,"Tier 1 unlimited",$AE$27:$AE$126)+SUMIF($AR$27:$AR$126,"Tier 1 limited",$AE$27:$AE$126)</f>
        <v>0</v>
      </c>
      <c r="H18" s="427" t="s">
        <v>452</v>
      </c>
      <c r="I18" s="413"/>
      <c r="J18" s="416"/>
      <c r="K18" s="153">
        <f>SUMIF($AR$27:$AR$126,"Tier 2 Paid-Up",$AE$27:$AE$126)</f>
        <v>0</v>
      </c>
      <c r="L18" s="424"/>
      <c r="M18" s="424"/>
      <c r="N18" s="424"/>
      <c r="O18" s="424"/>
      <c r="P18" s="424"/>
      <c r="Q18" s="424"/>
      <c r="R18" s="148"/>
      <c r="S18" s="148"/>
      <c r="T18" s="148"/>
      <c r="U18" s="424"/>
      <c r="V18" s="424"/>
      <c r="W18" s="424"/>
      <c r="X18" s="424"/>
      <c r="Y18" s="424"/>
      <c r="Z18" s="424"/>
      <c r="AA18" s="424"/>
      <c r="AB18" s="424"/>
      <c r="AC18" s="424"/>
      <c r="AD18" s="424"/>
      <c r="AE18" s="424"/>
      <c r="AF18" s="148"/>
      <c r="AG18" s="148"/>
      <c r="AH18" s="148"/>
      <c r="AI18" s="148"/>
      <c r="AJ18" s="148"/>
      <c r="AK18" s="148"/>
      <c r="AL18" s="148"/>
      <c r="AM18" s="148"/>
      <c r="AN18" s="424"/>
      <c r="AO18" s="424"/>
      <c r="AP18" s="424"/>
      <c r="AQ18" s="424"/>
      <c r="AS18" s="424"/>
      <c r="AT18" s="424"/>
      <c r="AU18" s="424"/>
      <c r="AV18"/>
      <c r="AW18"/>
      <c r="BT18" s="425"/>
      <c r="BV18" s="426"/>
      <c r="CA18" s="421"/>
      <c r="CB18" s="421"/>
      <c r="CD18" s="425"/>
      <c r="CM18" s="425"/>
      <c r="CU18" s="425"/>
    </row>
    <row r="19" spans="2:102" s="410" customFormat="1" ht="15" x14ac:dyDescent="0.25">
      <c r="B19"/>
      <c r="C19" s="397" t="s">
        <v>453</v>
      </c>
      <c r="D19" s="398"/>
      <c r="E19" s="398"/>
      <c r="F19" s="399"/>
      <c r="G19" s="400"/>
      <c r="H19" s="424"/>
      <c r="I19" s="424"/>
      <c r="J19" s="424"/>
      <c r="K19" s="424"/>
      <c r="L19" s="424"/>
      <c r="M19" s="424"/>
      <c r="N19" s="424"/>
      <c r="O19" s="424"/>
      <c r="P19" s="424"/>
      <c r="Q19" s="424"/>
      <c r="R19" s="148"/>
      <c r="S19" s="148"/>
      <c r="T19" s="148"/>
      <c r="U19" s="424"/>
      <c r="V19" s="424"/>
      <c r="W19" s="424"/>
      <c r="X19" s="424"/>
      <c r="Y19" s="424"/>
      <c r="Z19" s="424"/>
      <c r="AA19" s="424"/>
      <c r="AB19" s="424"/>
      <c r="AC19" s="424"/>
      <c r="AD19" s="424"/>
      <c r="AE19" s="424"/>
      <c r="AF19" s="148"/>
      <c r="AG19" s="148"/>
      <c r="AH19" s="148"/>
      <c r="AI19" s="148"/>
      <c r="AJ19" s="148"/>
      <c r="AK19" s="148"/>
      <c r="AL19" s="148"/>
      <c r="AM19" s="148"/>
      <c r="AN19" s="424"/>
      <c r="AO19" s="424"/>
      <c r="AP19" s="424"/>
      <c r="AQ19" s="424"/>
      <c r="AS19" s="424"/>
      <c r="AT19" s="424"/>
      <c r="AU19" s="424"/>
      <c r="AV19"/>
      <c r="AW19"/>
      <c r="BT19" s="425"/>
      <c r="BV19" s="426"/>
      <c r="CA19" s="421"/>
      <c r="CB19" s="421"/>
      <c r="CD19" s="425"/>
      <c r="CM19" s="425"/>
      <c r="CU19" s="425"/>
    </row>
    <row r="20" spans="2:102" s="410" customFormat="1" ht="12.75" customHeight="1" x14ac:dyDescent="0.2">
      <c r="B20" s="124">
        <v>177</v>
      </c>
      <c r="C20" s="105"/>
      <c r="D20" s="105"/>
      <c r="E20" s="105"/>
      <c r="F20" s="105"/>
      <c r="G20" s="106">
        <v>1</v>
      </c>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9"/>
      <c r="AH20" s="428"/>
      <c r="AI20" s="428"/>
      <c r="AJ20" s="428"/>
      <c r="AK20" s="428"/>
      <c r="AL20" s="428"/>
      <c r="AM20" s="428"/>
      <c r="AN20" s="428"/>
      <c r="AO20" s="430"/>
      <c r="AP20" s="430"/>
      <c r="AQ20" s="428"/>
      <c r="AS20" s="428"/>
      <c r="AT20" s="430"/>
      <c r="AU20" s="430"/>
      <c r="AV20"/>
      <c r="AW20"/>
      <c r="BI20" s="431" t="s">
        <v>454</v>
      </c>
      <c r="BJ20" s="432" t="s">
        <v>455</v>
      </c>
      <c r="BK20" s="433"/>
      <c r="BL20" s="433"/>
      <c r="BM20" s="433" t="s">
        <v>456</v>
      </c>
      <c r="BN20" s="433"/>
      <c r="BO20" s="433" t="s">
        <v>457</v>
      </c>
      <c r="BP20" s="433"/>
      <c r="BQ20" s="433" t="s">
        <v>458</v>
      </c>
      <c r="BR20" s="433"/>
      <c r="BS20" s="433"/>
      <c r="BT20" s="433"/>
      <c r="BU20" s="433" t="s">
        <v>459</v>
      </c>
      <c r="BV20" s="433"/>
      <c r="BW20" s="433"/>
      <c r="BX20" s="433" t="s">
        <v>460</v>
      </c>
      <c r="BY20" s="433"/>
      <c r="BZ20" s="433"/>
      <c r="CA20" s="434"/>
      <c r="CB20" s="433" t="s">
        <v>461</v>
      </c>
      <c r="CC20" s="433"/>
      <c r="CD20" s="433"/>
      <c r="CE20" s="433"/>
      <c r="CF20" s="433"/>
      <c r="CG20" s="435" t="s">
        <v>462</v>
      </c>
    </row>
    <row r="21" spans="2:102" s="410" customFormat="1" ht="15" x14ac:dyDescent="0.2">
      <c r="B21" s="162">
        <v>1</v>
      </c>
      <c r="C21" s="436" t="s">
        <v>463</v>
      </c>
      <c r="D21" s="101"/>
      <c r="E21" s="101"/>
      <c r="F21" s="102"/>
      <c r="G21" s="144" t="s">
        <v>90</v>
      </c>
      <c r="H21" s="417"/>
      <c r="I21" s="417"/>
      <c r="J21" s="417"/>
      <c r="K21" s="417"/>
      <c r="L21" s="417"/>
      <c r="M21" s="417"/>
      <c r="N21" s="417"/>
      <c r="O21" s="417"/>
      <c r="P21" s="417"/>
      <c r="Q21" s="417"/>
      <c r="R21" s="417"/>
      <c r="S21" s="417"/>
      <c r="T21" s="417"/>
      <c r="U21" s="417"/>
      <c r="V21" s="417"/>
      <c r="W21" s="417"/>
      <c r="X21" s="417"/>
      <c r="Y21" s="417"/>
      <c r="Z21" s="417"/>
      <c r="AA21" s="417"/>
      <c r="AB21" s="437"/>
      <c r="AC21" s="437"/>
      <c r="AD21" s="417"/>
      <c r="AE21" s="417"/>
      <c r="AF21" s="417"/>
      <c r="AG21" s="417"/>
      <c r="AH21" s="417"/>
      <c r="AI21" s="417"/>
      <c r="AJ21" s="417"/>
      <c r="AK21" s="417"/>
      <c r="AL21" s="417"/>
      <c r="AM21" s="417"/>
      <c r="AN21" s="417"/>
      <c r="AO21" s="417"/>
      <c r="AP21" s="417"/>
      <c r="AQ21" s="417"/>
      <c r="AR21" s="438"/>
      <c r="AS21" s="417"/>
      <c r="AT21" s="417"/>
      <c r="AU21" s="417"/>
      <c r="AV21"/>
      <c r="AW21"/>
      <c r="BI21" s="439" t="s">
        <v>464</v>
      </c>
      <c r="BJ21" s="440" t="s">
        <v>465</v>
      </c>
      <c r="BK21" s="441"/>
      <c r="BL21" s="441"/>
      <c r="BM21" s="441"/>
      <c r="BN21" s="441"/>
      <c r="BO21" s="441"/>
      <c r="BP21" s="441"/>
      <c r="BQ21" s="441" t="s">
        <v>466</v>
      </c>
      <c r="BR21" s="441"/>
      <c r="BS21" s="441"/>
      <c r="BT21" s="441"/>
      <c r="BU21" s="441" t="s">
        <v>467</v>
      </c>
      <c r="BV21" s="441"/>
      <c r="BW21" s="441"/>
      <c r="BX21" s="441" t="s">
        <v>468</v>
      </c>
      <c r="BY21" s="441"/>
      <c r="BZ21" s="441"/>
      <c r="CB21" s="441" t="s">
        <v>469</v>
      </c>
      <c r="CC21" s="441"/>
      <c r="CD21" s="441" t="s">
        <v>470</v>
      </c>
      <c r="CE21" s="441" t="s">
        <v>471</v>
      </c>
      <c r="CF21" s="441"/>
      <c r="CG21" s="442"/>
      <c r="CO21" s="426"/>
      <c r="CW21" s="443" t="s">
        <v>472</v>
      </c>
      <c r="CX21" s="444" t="s">
        <v>473</v>
      </c>
    </row>
    <row r="22" spans="2:102" s="410" customFormat="1" ht="15" x14ac:dyDescent="0.2">
      <c r="C22" s="445"/>
      <c r="D22" s="445"/>
      <c r="E22" s="445"/>
      <c r="F22" s="445"/>
      <c r="G22" s="445"/>
      <c r="H22" s="445"/>
      <c r="I22" s="445"/>
      <c r="J22" s="445"/>
      <c r="K22" s="445"/>
      <c r="L22" s="445"/>
      <c r="M22" s="445"/>
      <c r="N22" s="445"/>
      <c r="O22" s="445"/>
      <c r="P22" s="445"/>
      <c r="Q22" s="445"/>
      <c r="R22" s="445"/>
      <c r="S22" s="445"/>
      <c r="T22" s="445"/>
      <c r="U22" s="445"/>
      <c r="V22" s="445"/>
      <c r="W22" s="445"/>
      <c r="X22" s="445"/>
      <c r="Y22" s="445"/>
      <c r="Z22" s="445"/>
      <c r="AA22" s="445"/>
      <c r="AB22" s="445"/>
      <c r="AC22" s="445"/>
      <c r="AD22" s="445"/>
      <c r="AE22" s="445"/>
      <c r="AF22" s="446"/>
      <c r="AG22" s="447"/>
      <c r="AH22" s="447"/>
      <c r="AI22" s="446"/>
      <c r="AJ22" s="446"/>
      <c r="AK22" s="446"/>
      <c r="AL22" s="446"/>
      <c r="AM22" s="446"/>
      <c r="AN22" s="445"/>
      <c r="AO22" s="438"/>
      <c r="AP22" s="445"/>
      <c r="AQ22" s="445"/>
      <c r="AS22" s="438"/>
      <c r="AT22" s="445"/>
      <c r="AU22" s="445"/>
      <c r="AV22"/>
      <c r="AW22"/>
      <c r="BI22" s="448" t="s">
        <v>474</v>
      </c>
      <c r="BJ22" s="449" t="s">
        <v>475</v>
      </c>
      <c r="BK22" s="450" t="s">
        <v>476</v>
      </c>
      <c r="BL22" s="450" t="s">
        <v>477</v>
      </c>
      <c r="BM22" s="450" t="s">
        <v>478</v>
      </c>
      <c r="BN22" s="450" t="s">
        <v>479</v>
      </c>
      <c r="BO22" s="450" t="s">
        <v>480</v>
      </c>
      <c r="BP22" s="450" t="s">
        <v>481</v>
      </c>
      <c r="BQ22" s="450" t="s">
        <v>482</v>
      </c>
      <c r="BR22" s="450" t="s">
        <v>483</v>
      </c>
      <c r="BS22" s="450" t="s">
        <v>484</v>
      </c>
      <c r="BT22" s="433"/>
      <c r="BU22" s="433"/>
      <c r="BV22" s="433"/>
      <c r="BW22" s="433"/>
      <c r="BX22" s="433"/>
      <c r="BY22" s="433"/>
      <c r="BZ22" s="433"/>
      <c r="CA22" s="433"/>
      <c r="CB22" s="433"/>
      <c r="CC22" s="433"/>
      <c r="CD22" s="433"/>
      <c r="CE22" s="433"/>
      <c r="CF22" s="433"/>
      <c r="CG22" s="435"/>
      <c r="CW22" s="451">
        <f>IF(SUM(FT15.Participant!C11)&gt;41639,SUM(FT15.Participant!C11),42004)</f>
        <v>42004</v>
      </c>
      <c r="CX22" s="452">
        <v>5</v>
      </c>
    </row>
    <row r="23" spans="2:102" s="410" customFormat="1" ht="14.25" customHeight="1" x14ac:dyDescent="0.2">
      <c r="C23" s="1421" t="s">
        <v>485</v>
      </c>
      <c r="D23" s="1421" t="s">
        <v>486</v>
      </c>
      <c r="E23" s="1421" t="s">
        <v>487</v>
      </c>
      <c r="F23" s="1421" t="s">
        <v>488</v>
      </c>
      <c r="G23" s="1421" t="s">
        <v>489</v>
      </c>
      <c r="H23" s="1421" t="s">
        <v>490</v>
      </c>
      <c r="I23" s="1421" t="s">
        <v>491</v>
      </c>
      <c r="J23" s="1421" t="s">
        <v>492</v>
      </c>
      <c r="K23" s="1424" t="s">
        <v>493</v>
      </c>
      <c r="L23" s="1438"/>
      <c r="M23" s="1425"/>
      <c r="N23" s="1421" t="s">
        <v>494</v>
      </c>
      <c r="O23" s="1424" t="s">
        <v>495</v>
      </c>
      <c r="P23" s="1438"/>
      <c r="Q23" s="1425"/>
      <c r="R23" s="1424" t="s">
        <v>496</v>
      </c>
      <c r="S23" s="1438"/>
      <c r="T23" s="1425"/>
      <c r="U23" s="1424" t="s">
        <v>497</v>
      </c>
      <c r="V23" s="1425"/>
      <c r="W23" s="1424" t="s">
        <v>498</v>
      </c>
      <c r="X23" s="1425"/>
      <c r="Y23" s="1424" t="s">
        <v>499</v>
      </c>
      <c r="Z23" s="1425"/>
      <c r="AA23" s="1421" t="s">
        <v>500</v>
      </c>
      <c r="AB23" s="453"/>
      <c r="AC23" s="454"/>
      <c r="AD23" s="1421" t="s">
        <v>501</v>
      </c>
      <c r="AE23" s="1421" t="s">
        <v>502</v>
      </c>
      <c r="AF23" s="1421" t="s">
        <v>503</v>
      </c>
      <c r="AG23" s="1421" t="s">
        <v>504</v>
      </c>
      <c r="AH23" s="1421" t="s">
        <v>505</v>
      </c>
      <c r="AI23" s="1421" t="s">
        <v>506</v>
      </c>
      <c r="AJ23" s="1421" t="s">
        <v>507</v>
      </c>
      <c r="AK23" s="1421" t="s">
        <v>508</v>
      </c>
      <c r="AL23" s="1421" t="s">
        <v>509</v>
      </c>
      <c r="AM23" s="1421" t="s">
        <v>510</v>
      </c>
      <c r="AN23" s="455"/>
      <c r="AO23" s="1424" t="s">
        <v>511</v>
      </c>
      <c r="AP23" s="1425"/>
      <c r="AQ23" s="455"/>
      <c r="AR23" s="1424" t="s">
        <v>512</v>
      </c>
      <c r="AS23" s="1425"/>
      <c r="AT23" s="455"/>
      <c r="AU23" s="455"/>
      <c r="AV23"/>
      <c r="AW23"/>
      <c r="AX23" s="425"/>
      <c r="AY23" s="425"/>
      <c r="AZ23" s="425"/>
      <c r="BA23" s="425"/>
      <c r="BB23" s="425"/>
      <c r="BC23" s="425"/>
      <c r="BD23" s="425"/>
      <c r="BE23" s="425"/>
      <c r="BF23" s="425"/>
      <c r="BG23" s="425"/>
      <c r="BI23" s="456" t="s">
        <v>513</v>
      </c>
      <c r="BJ23" s="457" t="s">
        <v>475</v>
      </c>
      <c r="BK23" s="458"/>
      <c r="BL23" s="458"/>
      <c r="BM23" s="458" t="s">
        <v>477</v>
      </c>
      <c r="BN23" s="458" t="s">
        <v>480</v>
      </c>
      <c r="BO23" s="458"/>
      <c r="BP23" s="458" t="s">
        <v>482</v>
      </c>
      <c r="BQ23" s="458" t="s">
        <v>484</v>
      </c>
      <c r="BR23" s="458" t="s">
        <v>514</v>
      </c>
      <c r="BS23" s="458" t="s">
        <v>515</v>
      </c>
      <c r="BT23" s="458" t="s">
        <v>476</v>
      </c>
      <c r="BU23" s="458" t="s">
        <v>478</v>
      </c>
      <c r="BV23" s="458" t="s">
        <v>479</v>
      </c>
      <c r="BW23" s="458" t="s">
        <v>481</v>
      </c>
      <c r="BX23" s="458" t="s">
        <v>483</v>
      </c>
      <c r="BY23" s="458" t="s">
        <v>516</v>
      </c>
      <c r="BZ23" s="458" t="s">
        <v>517</v>
      </c>
      <c r="CA23" s="459"/>
      <c r="CB23" s="459"/>
      <c r="CC23" s="459"/>
      <c r="CD23" s="459"/>
      <c r="CE23" s="459"/>
      <c r="CF23" s="459"/>
      <c r="CG23" s="460"/>
    </row>
    <row r="24" spans="2:102" s="410" customFormat="1" ht="84.75" customHeight="1" x14ac:dyDescent="0.2">
      <c r="C24" s="1422"/>
      <c r="D24" s="1422"/>
      <c r="E24" s="1422"/>
      <c r="F24" s="1422"/>
      <c r="G24" s="1422"/>
      <c r="H24" s="1422"/>
      <c r="I24" s="1422"/>
      <c r="J24" s="1422"/>
      <c r="K24" s="1426"/>
      <c r="L24" s="1439"/>
      <c r="M24" s="1427"/>
      <c r="N24" s="1422"/>
      <c r="O24" s="1426"/>
      <c r="P24" s="1439"/>
      <c r="Q24" s="1427"/>
      <c r="R24" s="1426"/>
      <c r="S24" s="1439"/>
      <c r="T24" s="1427"/>
      <c r="U24" s="1426"/>
      <c r="V24" s="1427"/>
      <c r="W24" s="1426"/>
      <c r="X24" s="1427"/>
      <c r="Y24" s="1426"/>
      <c r="Z24" s="1427"/>
      <c r="AA24" s="1422"/>
      <c r="AB24" s="1426" t="s">
        <v>518</v>
      </c>
      <c r="AC24" s="1427"/>
      <c r="AD24" s="1422"/>
      <c r="AE24" s="1422"/>
      <c r="AF24" s="1422"/>
      <c r="AG24" s="1422"/>
      <c r="AH24" s="1422"/>
      <c r="AI24" s="1422"/>
      <c r="AJ24" s="1422"/>
      <c r="AK24" s="1422"/>
      <c r="AL24" s="1422"/>
      <c r="AM24" s="1422"/>
      <c r="AN24" s="461"/>
      <c r="AO24" s="1430"/>
      <c r="AP24" s="1431"/>
      <c r="AQ24" s="461"/>
      <c r="AR24" s="1430"/>
      <c r="AS24" s="1431"/>
      <c r="AT24" s="461"/>
      <c r="AU24" s="461"/>
      <c r="AV24"/>
      <c r="AW24"/>
      <c r="AX24" s="1432" t="s">
        <v>519</v>
      </c>
      <c r="AY24" s="1433"/>
      <c r="AZ24" s="1433"/>
      <c r="BA24" s="1433"/>
      <c r="BB24" s="1433"/>
      <c r="BC24" s="1433"/>
      <c r="BD24" s="1433"/>
      <c r="BE24" s="1433"/>
      <c r="BF24" s="1433"/>
      <c r="BG24" s="1434"/>
      <c r="BI24" s="462" t="s">
        <v>520</v>
      </c>
      <c r="BJ24" s="463" t="s">
        <v>475</v>
      </c>
      <c r="BK24" s="464"/>
      <c r="BL24" s="464"/>
      <c r="BM24" s="464"/>
      <c r="BN24" s="465" t="s">
        <v>481</v>
      </c>
      <c r="BO24" s="464"/>
      <c r="BP24" s="464"/>
      <c r="BQ24" s="464" t="s">
        <v>484</v>
      </c>
      <c r="BR24" s="464" t="s">
        <v>514</v>
      </c>
      <c r="BS24" s="464"/>
      <c r="BT24" s="464"/>
      <c r="BU24" s="464" t="s">
        <v>479</v>
      </c>
      <c r="BV24" s="464" t="s">
        <v>480</v>
      </c>
      <c r="BW24" s="464"/>
      <c r="BX24" s="464" t="s">
        <v>482</v>
      </c>
      <c r="BY24" s="464"/>
      <c r="BZ24" s="464"/>
      <c r="CA24" s="464" t="s">
        <v>476</v>
      </c>
      <c r="CB24" s="464"/>
      <c r="CC24" s="464" t="s">
        <v>477</v>
      </c>
      <c r="CD24" s="464" t="s">
        <v>478</v>
      </c>
      <c r="CE24" s="464" t="s">
        <v>483</v>
      </c>
      <c r="CF24" s="464" t="s">
        <v>515</v>
      </c>
      <c r="CG24" s="466"/>
      <c r="CI24" s="1418" t="s">
        <v>521</v>
      </c>
      <c r="CJ24" s="1420"/>
      <c r="CL24" s="1418" t="s">
        <v>522</v>
      </c>
      <c r="CM24" s="1420"/>
      <c r="CO24" s="1418" t="s">
        <v>523</v>
      </c>
      <c r="CP24" s="1419"/>
      <c r="CQ24" s="1420"/>
      <c r="CS24" s="1418" t="s">
        <v>524</v>
      </c>
      <c r="CT24" s="1419"/>
      <c r="CU24" s="1420"/>
      <c r="CW24" s="1428" t="s">
        <v>525</v>
      </c>
      <c r="CX24" s="1429"/>
    </row>
    <row r="25" spans="2:102" s="410" customFormat="1" ht="51" customHeight="1" x14ac:dyDescent="0.2">
      <c r="C25" s="1423"/>
      <c r="D25" s="1423"/>
      <c r="E25" s="1423"/>
      <c r="F25" s="1423"/>
      <c r="G25" s="1423"/>
      <c r="H25" s="1423"/>
      <c r="I25" s="1423"/>
      <c r="J25" s="1423"/>
      <c r="K25" s="467" t="s">
        <v>526</v>
      </c>
      <c r="L25" s="468" t="s">
        <v>527</v>
      </c>
      <c r="M25" s="469" t="s">
        <v>528</v>
      </c>
      <c r="N25" s="1423"/>
      <c r="O25" s="470" t="s">
        <v>529</v>
      </c>
      <c r="P25" s="471" t="s">
        <v>530</v>
      </c>
      <c r="Q25" s="472" t="s">
        <v>531</v>
      </c>
      <c r="R25" s="473" t="s">
        <v>532</v>
      </c>
      <c r="S25" s="472" t="s">
        <v>533</v>
      </c>
      <c r="T25" s="474" t="s">
        <v>534</v>
      </c>
      <c r="U25" s="473" t="s">
        <v>529</v>
      </c>
      <c r="V25" s="474" t="s">
        <v>535</v>
      </c>
      <c r="W25" s="473" t="s">
        <v>529</v>
      </c>
      <c r="X25" s="474" t="s">
        <v>536</v>
      </c>
      <c r="Y25" s="475" t="s">
        <v>537</v>
      </c>
      <c r="Z25" s="476" t="s">
        <v>538</v>
      </c>
      <c r="AA25" s="1423"/>
      <c r="AB25" s="473" t="s">
        <v>539</v>
      </c>
      <c r="AC25" s="474" t="s">
        <v>540</v>
      </c>
      <c r="AD25" s="1423"/>
      <c r="AE25" s="1423"/>
      <c r="AF25" s="1423"/>
      <c r="AG25" s="1423"/>
      <c r="AH25" s="1423"/>
      <c r="AI25" s="1423"/>
      <c r="AJ25" s="1423"/>
      <c r="AK25" s="1423"/>
      <c r="AL25" s="1423"/>
      <c r="AM25" s="1423"/>
      <c r="AN25" s="461"/>
      <c r="AO25" s="477" t="s">
        <v>522</v>
      </c>
      <c r="AP25" s="474" t="s">
        <v>541</v>
      </c>
      <c r="AQ25" s="461"/>
      <c r="AR25" s="477" t="s">
        <v>524</v>
      </c>
      <c r="AS25" s="278" t="s">
        <v>542</v>
      </c>
      <c r="AT25" s="461"/>
      <c r="AU25" s="461"/>
      <c r="AV25"/>
      <c r="AW25"/>
      <c r="AX25" s="478" t="s">
        <v>543</v>
      </c>
      <c r="AY25" s="479" t="s">
        <v>420</v>
      </c>
      <c r="AZ25" s="479" t="s">
        <v>544</v>
      </c>
      <c r="BA25" s="479" t="s">
        <v>545</v>
      </c>
      <c r="BB25" s="479" t="s">
        <v>546</v>
      </c>
      <c r="BC25" s="479" t="s">
        <v>547</v>
      </c>
      <c r="BD25" s="479" t="s">
        <v>548</v>
      </c>
      <c r="BE25" s="479" t="s">
        <v>549</v>
      </c>
      <c r="BF25" s="479" t="s">
        <v>550</v>
      </c>
      <c r="BG25" s="480" t="s">
        <v>551</v>
      </c>
      <c r="BI25" s="481" t="s">
        <v>552</v>
      </c>
      <c r="BJ25" s="482" t="s">
        <v>553</v>
      </c>
      <c r="BK25" s="483" t="s">
        <v>554</v>
      </c>
      <c r="BL25" s="483" t="s">
        <v>555</v>
      </c>
      <c r="BM25" s="483" t="s">
        <v>556</v>
      </c>
      <c r="BN25" s="483" t="s">
        <v>557</v>
      </c>
      <c r="BO25" s="483" t="s">
        <v>558</v>
      </c>
      <c r="BP25" s="483" t="s">
        <v>559</v>
      </c>
      <c r="BQ25" s="483" t="s">
        <v>560</v>
      </c>
      <c r="BR25" s="483" t="s">
        <v>561</v>
      </c>
      <c r="BS25" s="483" t="s">
        <v>562</v>
      </c>
      <c r="BT25" s="483" t="s">
        <v>563</v>
      </c>
      <c r="BU25" s="483" t="s">
        <v>564</v>
      </c>
      <c r="BV25" s="483" t="s">
        <v>565</v>
      </c>
      <c r="BW25" s="483" t="s">
        <v>566</v>
      </c>
      <c r="BX25" s="483" t="s">
        <v>567</v>
      </c>
      <c r="BY25" s="483" t="s">
        <v>568</v>
      </c>
      <c r="BZ25" s="483" t="s">
        <v>569</v>
      </c>
      <c r="CA25" s="483" t="s">
        <v>570</v>
      </c>
      <c r="CB25" s="483" t="s">
        <v>571</v>
      </c>
      <c r="CC25" s="483" t="s">
        <v>572</v>
      </c>
      <c r="CD25" s="483" t="s">
        <v>573</v>
      </c>
      <c r="CE25" s="483" t="s">
        <v>574</v>
      </c>
      <c r="CF25" s="484" t="s">
        <v>575</v>
      </c>
      <c r="CG25" s="485" t="s">
        <v>576</v>
      </c>
      <c r="CI25" s="486" t="s">
        <v>577</v>
      </c>
      <c r="CJ25" s="486" t="s">
        <v>578</v>
      </c>
      <c r="CL25" s="486" t="s">
        <v>579</v>
      </c>
      <c r="CM25" s="486" t="s">
        <v>580</v>
      </c>
      <c r="CO25" s="487" t="s">
        <v>581</v>
      </c>
      <c r="CP25" s="488" t="s">
        <v>582</v>
      </c>
      <c r="CQ25" s="489" t="s">
        <v>583</v>
      </c>
      <c r="CS25" s="490" t="s">
        <v>584</v>
      </c>
      <c r="CT25" s="491" t="s">
        <v>585</v>
      </c>
      <c r="CU25" s="492" t="s">
        <v>586</v>
      </c>
      <c r="CW25" s="278" t="s">
        <v>587</v>
      </c>
      <c r="CX25" s="278" t="s">
        <v>588</v>
      </c>
    </row>
    <row r="26" spans="2:102" s="410" customFormat="1" x14ac:dyDescent="0.2">
      <c r="B26" s="104">
        <v>21</v>
      </c>
      <c r="C26" s="167">
        <v>1</v>
      </c>
      <c r="D26" s="167">
        <v>2</v>
      </c>
      <c r="E26" s="167">
        <v>3</v>
      </c>
      <c r="F26" s="167">
        <v>4</v>
      </c>
      <c r="G26" s="167">
        <v>5</v>
      </c>
      <c r="H26" s="167">
        <v>6</v>
      </c>
      <c r="I26" s="167">
        <v>7</v>
      </c>
      <c r="J26" s="167">
        <v>8</v>
      </c>
      <c r="K26" s="167">
        <v>9</v>
      </c>
      <c r="L26" s="167">
        <v>10</v>
      </c>
      <c r="M26" s="167">
        <v>11</v>
      </c>
      <c r="N26" s="167">
        <v>12</v>
      </c>
      <c r="O26" s="167">
        <v>13</v>
      </c>
      <c r="P26" s="167">
        <v>14</v>
      </c>
      <c r="Q26" s="167">
        <v>15</v>
      </c>
      <c r="R26" s="167">
        <v>16</v>
      </c>
      <c r="S26" s="167">
        <v>17</v>
      </c>
      <c r="T26" s="167">
        <v>18</v>
      </c>
      <c r="U26" s="167">
        <v>19</v>
      </c>
      <c r="V26" s="167">
        <v>20</v>
      </c>
      <c r="W26" s="167">
        <v>21</v>
      </c>
      <c r="X26" s="167">
        <v>22</v>
      </c>
      <c r="Y26" s="167">
        <v>23</v>
      </c>
      <c r="Z26" s="167">
        <v>24</v>
      </c>
      <c r="AA26" s="167">
        <v>25</v>
      </c>
      <c r="AB26" s="167">
        <v>26</v>
      </c>
      <c r="AC26" s="167">
        <v>27</v>
      </c>
      <c r="AD26" s="167">
        <v>28</v>
      </c>
      <c r="AE26" s="167">
        <v>29</v>
      </c>
      <c r="AF26" s="167">
        <v>30</v>
      </c>
      <c r="AG26" s="167">
        <v>31</v>
      </c>
      <c r="AH26" s="167">
        <v>32</v>
      </c>
      <c r="AI26" s="167">
        <v>33</v>
      </c>
      <c r="AJ26" s="167">
        <v>34</v>
      </c>
      <c r="AK26" s="167">
        <v>35</v>
      </c>
      <c r="AL26" s="167">
        <v>36</v>
      </c>
      <c r="AM26" s="214">
        <v>37</v>
      </c>
      <c r="AN26" s="461"/>
      <c r="AO26" s="493">
        <v>38</v>
      </c>
      <c r="AP26" s="214">
        <v>39</v>
      </c>
      <c r="AQ26" s="461"/>
      <c r="AR26" s="493">
        <v>40</v>
      </c>
      <c r="AS26" s="214">
        <v>41</v>
      </c>
      <c r="AT26" s="461"/>
      <c r="AU26" s="461"/>
      <c r="AV26" s="494"/>
      <c r="AW26" s="104">
        <v>22</v>
      </c>
      <c r="AX26" s="167">
        <v>1</v>
      </c>
      <c r="AY26" s="167">
        <v>2</v>
      </c>
      <c r="AZ26" s="167">
        <v>3</v>
      </c>
      <c r="BA26" s="167">
        <v>4</v>
      </c>
      <c r="BB26" s="167">
        <v>5</v>
      </c>
      <c r="BC26" s="167">
        <v>6</v>
      </c>
      <c r="BD26" s="167">
        <v>7</v>
      </c>
      <c r="BE26" s="167">
        <v>8</v>
      </c>
      <c r="BF26" s="167">
        <v>9</v>
      </c>
      <c r="BG26" s="214">
        <v>10</v>
      </c>
      <c r="BI26" s="495"/>
      <c r="BJ26" s="493">
        <v>42</v>
      </c>
      <c r="BK26" s="167">
        <v>43</v>
      </c>
      <c r="BL26" s="167">
        <v>44</v>
      </c>
      <c r="BM26" s="167">
        <v>45</v>
      </c>
      <c r="BN26" s="167">
        <v>46</v>
      </c>
      <c r="BO26" s="167">
        <v>47</v>
      </c>
      <c r="BP26" s="167">
        <v>48</v>
      </c>
      <c r="BQ26" s="167">
        <v>49</v>
      </c>
      <c r="BR26" s="167">
        <v>50</v>
      </c>
      <c r="BS26" s="167">
        <v>51</v>
      </c>
      <c r="BT26" s="167">
        <v>52</v>
      </c>
      <c r="BU26" s="167">
        <v>53</v>
      </c>
      <c r="BV26" s="167">
        <v>54</v>
      </c>
      <c r="BW26" s="167">
        <v>55</v>
      </c>
      <c r="BX26" s="167">
        <v>56</v>
      </c>
      <c r="BY26" s="167">
        <v>57</v>
      </c>
      <c r="BZ26" s="167">
        <v>58</v>
      </c>
      <c r="CA26" s="167">
        <v>59</v>
      </c>
      <c r="CB26" s="167">
        <v>60</v>
      </c>
      <c r="CC26" s="167">
        <v>61</v>
      </c>
      <c r="CD26" s="167">
        <v>62</v>
      </c>
      <c r="CE26" s="167">
        <v>63</v>
      </c>
      <c r="CF26" s="167">
        <v>64</v>
      </c>
      <c r="CG26" s="214">
        <v>65</v>
      </c>
      <c r="CI26" s="493">
        <v>66</v>
      </c>
      <c r="CJ26" s="214">
        <v>67</v>
      </c>
      <c r="CL26" s="493">
        <v>68</v>
      </c>
      <c r="CM26" s="214">
        <v>69</v>
      </c>
      <c r="CO26" s="493">
        <v>70</v>
      </c>
      <c r="CP26" s="167">
        <v>71</v>
      </c>
      <c r="CQ26" s="214">
        <v>72</v>
      </c>
      <c r="CS26" s="493">
        <v>73</v>
      </c>
      <c r="CT26" s="167">
        <v>74</v>
      </c>
      <c r="CU26" s="214">
        <v>75</v>
      </c>
      <c r="CW26" s="493">
        <v>76</v>
      </c>
      <c r="CX26" s="214">
        <v>77</v>
      </c>
    </row>
    <row r="27" spans="2:102" s="424" customFormat="1" x14ac:dyDescent="0.2">
      <c r="B27" s="169">
        <v>1</v>
      </c>
      <c r="C27" s="496"/>
      <c r="D27" s="497"/>
      <c r="E27" s="498"/>
      <c r="F27" s="497"/>
      <c r="G27" s="497"/>
      <c r="H27" s="497"/>
      <c r="I27" s="497"/>
      <c r="J27" s="498"/>
      <c r="K27" s="499"/>
      <c r="L27" s="499"/>
      <c r="M27" s="499"/>
      <c r="N27" s="500" t="str">
        <f>IF(C27="","",IF(AND(O27="Y",Q27&lt;&gt;""),ROUND(YEARFRAC(K27,Q27),2),IF(OR(L27="Perpetual",L27="NA",ISBLANK(L27)),"Perpetual",ROUND(YEARFRAC(K27,L27),2))))</f>
        <v/>
      </c>
      <c r="O27" s="501"/>
      <c r="P27" s="501"/>
      <c r="Q27" s="499"/>
      <c r="R27" s="501"/>
      <c r="S27" s="501"/>
      <c r="T27" s="502"/>
      <c r="U27" s="501"/>
      <c r="V27" s="498"/>
      <c r="W27" s="501"/>
      <c r="X27" s="502"/>
      <c r="Y27" s="501"/>
      <c r="Z27" s="501"/>
      <c r="AA27" s="501"/>
      <c r="AB27" s="501"/>
      <c r="AC27" s="503"/>
      <c r="AD27" s="504"/>
      <c r="AE27" s="504"/>
      <c r="AF27" s="501"/>
      <c r="AG27" s="501"/>
      <c r="AH27" s="501"/>
      <c r="AI27" s="501"/>
      <c r="AJ27" s="501"/>
      <c r="AK27" s="501"/>
      <c r="AL27" s="501"/>
      <c r="AM27" s="505"/>
      <c r="AN27" s="506"/>
      <c r="AO27" s="507" t="str">
        <f t="shared" ref="AO27:AO90" si="0">IF(C27="","",IF(CL27="Y","Core",IF(CM27="Y","Additional","Non-Qualifying")))</f>
        <v/>
      </c>
      <c r="AP27" s="508" t="str">
        <f>IF(C27="","",IF(AO27="Non-Qualifying",0,AD27*CX27))</f>
        <v/>
      </c>
      <c r="AQ27" s="506"/>
      <c r="AR27" s="507" t="str">
        <f t="shared" ref="AR27:AR90" si="1">IF(C27="","",IF(CS27="Y","Tier 1 unlimited",IF(CT27="Y","Tier 1 limited",IF(CU27="Y","Tier 2 Paid-Up","Non-Qualifying"))))</f>
        <v/>
      </c>
      <c r="AS27" s="508" t="str">
        <f>IF(C27="","",IF(AR27="Non-Qualifying",0,AD27*CX27))</f>
        <v/>
      </c>
      <c r="AT27" s="506"/>
      <c r="AU27" s="506"/>
      <c r="AV27" s="494"/>
      <c r="AW27" s="169">
        <v>1</v>
      </c>
      <c r="AX27" s="509"/>
      <c r="AY27" s="501"/>
      <c r="AZ27" s="503"/>
      <c r="BA27" s="503"/>
      <c r="BB27" s="503"/>
      <c r="BC27" s="503"/>
      <c r="BD27" s="503"/>
      <c r="BE27" s="503"/>
      <c r="BF27" s="503"/>
      <c r="BG27" s="510"/>
      <c r="BJ27" s="511" t="str">
        <f t="shared" ref="BJ27:BJ90" si="2">IF($C27="","",IF(I27="","ERROR",I27))</f>
        <v/>
      </c>
      <c r="BK27" s="512" t="str">
        <f t="shared" ref="BK27:BK90" si="3">IF($C27="","",IF(D27="","ERROR",IF(D27="Shares - Com/Ord","Y","N")))</f>
        <v/>
      </c>
      <c r="BL27" s="512" t="str">
        <f>IF($C27="","",IF(D27="","ERROR",IF(H27="Instrument is the most subordinate","Y","N")))</f>
        <v/>
      </c>
      <c r="BM27" s="512" t="str">
        <f>IF($C27="","",IF(OR(L27="Perpetual",L27=""),"Y","N"))</f>
        <v/>
      </c>
      <c r="BN27" s="512" t="str">
        <f>IF($C27="","","N")</f>
        <v/>
      </c>
      <c r="BO27" s="512" t="str">
        <f t="shared" ref="BO27:BO90" si="4">IF($C27="","",IF(OR(R27="",S27=""),"ERROR",IF(AND(R27="N",S27="Y"),"N","Y")))</f>
        <v/>
      </c>
      <c r="BP27" s="512" t="str">
        <f t="shared" ref="BP27:BP90" si="5">IF($C27="","","Y")</f>
        <v/>
      </c>
      <c r="BQ27" s="512" t="str">
        <f t="shared" ref="BQ27:BQ90" si="6">IF($C27="","",IF(AF27="","ERROR",AF27))</f>
        <v/>
      </c>
      <c r="BR27" s="512" t="str">
        <f t="shared" ref="BR27:BR90" si="7">IF($C27="","",IF(AG27="","ERROR",IF(AG27="N","Y","N")))</f>
        <v/>
      </c>
      <c r="BS27" s="512" t="str">
        <f t="shared" ref="BS27:BS90" si="8">IF($C27="","",IF(J27="","ERROR",IF(J27="Equity","Y","N")))</f>
        <v/>
      </c>
      <c r="BT27" s="512" t="str">
        <f>IF($C27="","",IF(H27="","ERROR",IF(OR(H27="Policyholders, non-subordinated creditors and holders of Tier 2 instruments", H27="Instrument is the most subordinate"),"Y","N")))</f>
        <v/>
      </c>
      <c r="BU27" s="512" t="str">
        <f>IF($C27="","",IF(AND(ROUND(YEARFRAC(SUM(K27),SUM(M27)),2)&gt;=5,AA27="Y"),"Y",  IF(AND(IF(L27="Perpetual",TRUE,ROUND(YEARFRAC(SUM(K27),SUM(L27)),2)&gt;=5 ),AA27="Y"),"Y[BCR]",  "N") ))</f>
        <v/>
      </c>
      <c r="BV27" s="512" t="str">
        <f t="shared" ref="BV27:BV90" si="9">IF($C27="","",IF(AH27="","ERROR",AH27))</f>
        <v/>
      </c>
      <c r="BW27" s="512" t="str">
        <f t="shared" ref="BW27:BW90" si="10">IF($C27="","",IF(OR(R27="",S27=""),"ERROR",IF(AND(R27="N",S27="Y"),"Y","N")))</f>
        <v/>
      </c>
      <c r="BX27" s="512" t="str">
        <f t="shared" ref="BX27:BZ58" si="11">IF($C27="","",IF(AI27="","ERROR",AI27))</f>
        <v/>
      </c>
      <c r="BY27" s="512" t="str">
        <f t="shared" si="11"/>
        <v/>
      </c>
      <c r="BZ27" s="512" t="str">
        <f t="shared" si="11"/>
        <v/>
      </c>
      <c r="CA27" s="512" t="str">
        <f>IF($C27="","",IF(H27="","ERROR",IF(OR(H27="Policyholders and non-subordinated creditors",H27="Policyholders, non-subordinated creditors and holders of Tier 2 instruments", H27="Instrument is the most subordinate"), "Y", "N")))</f>
        <v/>
      </c>
      <c r="CB27" s="512" t="str">
        <f t="shared" ref="CB27:CB90" si="12">IF($C27="","",IF(H27="","ERROR",IF(OR(H27="Policyholders",H27="Policyholders and non-subordinated creditors",H27="Policyholders, non-subordinated creditors and holders of Tier 2 instruments", H27="Instrument is the most subordinate"),"Y", "N")))</f>
        <v/>
      </c>
      <c r="CC27" s="512" t="str">
        <f>IF($C27="","",IF(OR(N27="Perpetual",N27&gt;=5),"Y","N"))</f>
        <v/>
      </c>
      <c r="CD27" s="512" t="str">
        <f>IF($C27="","",IF(OR(AB27="",AND(AB27="Amortization",AC27="")),"ERROR",IF(OR(AND(AB27="Amortization",SUM(AC27)&gt;=5),AB27="Lock-in"),"Y",IF(OR(L27="Perpetual",L27=""),"N/A","N"))))</f>
        <v/>
      </c>
      <c r="CE27" s="512" t="str">
        <f t="shared" ref="CE27:CE90" si="13">IF($C27="","",IF(AM27="","ERROR",IF(AM27="N","Y","N")))</f>
        <v/>
      </c>
      <c r="CF27" s="513" t="str">
        <f t="shared" ref="CF27:CF90" si="14">IF($C27="","",IF(AL27="","ERROR",AL27))</f>
        <v/>
      </c>
      <c r="CG27" s="514" t="str">
        <f>IF($C27="","",IF(S27="","ERROR",IF(S27="Y","N","Y")))</f>
        <v/>
      </c>
      <c r="CI27" s="511" t="str">
        <f>IF(C27="","",IF(OR(BJ27="ERROR",BM27="ERROR",BO27="ERROR",BQ27="ERROR",BU27="ERROR",BX27="ERROR",CB27="ERROR",CG27="ERROR"),"ERROR","OK"))</f>
        <v/>
      </c>
      <c r="CJ27" s="514" t="str">
        <f>IF(C27="","",IF(OR(BJ27="ERROR",BQ27="ERROR",BU27="ERROR",BX27="ERROR",CB27="ERROR",CD27="ERROR",CE27="ERROR"),"ERROR","OK"))</f>
        <v/>
      </c>
      <c r="CL27" s="511" t="str">
        <f>IF(C27="","",IF(D27="Shares - Com/Ord","Y",IF(CI27="ERROR","ERROR",IF(AND(BJ27="Y",BM27="Y",BO27="N",BQ27="N", LEFT(BU27,1)="Y",BX27="N",CB27="Y",CG27="N"),"Y","N"))))</f>
        <v/>
      </c>
      <c r="CM27" s="514" t="str">
        <f>IF($CL27="Y","-",IF(C27="","",IF(CJ27="ERROR","ERROR",IF(AND(BJ27="Y",BQ27="N",LEFT(BU27,1)="Y",BX27="N",CB27="Y",CE27="Y"),"Y","N"))))</f>
        <v/>
      </c>
      <c r="CO27" s="511" t="str">
        <f t="shared" ref="CO27:CO90" si="15">IF(C27="","",IF(OR(BJ27="ERROR",BK27="ERROR",BL27="ERROR",BM27="ERROR",BN27="ERROR",BO27="ERROR",BP27="ERROR",BQ27="ERROR", BR27="ERROR",BS27="ERROR"),"ERROR","OK"))</f>
        <v/>
      </c>
      <c r="CP27" s="512" t="str">
        <f t="shared" ref="CP27:CP90" si="16">IF(C27="","",IF(OR(BJ27="ERROR",BT27="ERROR",BM27="ERROR",BU27="ERROR",BP27="ERROR",BV27="ERROR",BN27="ERROR",BW27="ERROR",BX27="ERROR",BQ27="ERROR",BR27="ERROR",BS27="ERROR",BY27="ERROR",BZ27="ERROR"),"ERROR","OK"))</f>
        <v/>
      </c>
      <c r="CQ27" s="514" t="str">
        <f t="shared" ref="CQ27:CQ90" si="17">IF(C27="","",IF(OR(BJ27="ERROR",CA27="ERROR",CC27="ERROR",CD27="ERROR",BU27="ERROR",BV27="ERROR",BN27="ERROR",BX27="ERROR",CE27="ERROR",BQ27="ERROR",BR27="ERROR",CF27="ERROR"),"ERROR","OK"))</f>
        <v/>
      </c>
      <c r="CS27" s="511" t="str">
        <f t="shared" ref="CS27:CS90" si="18">IF($C27="","",IF(CO27="ERROR","ERROR",IF(AND(BJ27="Y",BK27="Y",BL27="Y",BM27="Y",BN27="N",BO27="N",BP27="Y",BQ27="N", BR27="Y",BS27="Y"),"Y","N")))</f>
        <v/>
      </c>
      <c r="CT27" s="512" t="str">
        <f t="shared" ref="CT27:CT90" si="19">IF($CS27="Y","-",IF($C27="","",IF(CP27="ERROR","ERROR",IF(AND(BJ27="Y",BT27="Y",BM27="Y",BU27="Y",BP27="Y",BV27="Y",BN27="N",BW27="Y",BX27="N",BQ27="N",BR27="Y",BS27="Y",BY27="N",OR(BZ27="Y",BZ27="N/A")),"Y","N"))))</f>
        <v/>
      </c>
      <c r="CU27" s="514" t="str">
        <f t="shared" ref="CU27:CU90" si="20">IF(OR($CS27="Y",$CT27="Y"),"-",IF($C27="","",IF(CQ27="ERROR","ERROR",IF(AND(BJ27="Y",CA27="Y",CC27="Y",OR(CD27="Y",CD27="N/A"),BU27="Y",BV27="Y",BN27="N",BX27="N",CE27="Y",BQ27="N",BR27="Y",OR(CF27="Y",CF27="N/A")),"Y","N"))))</f>
        <v/>
      </c>
      <c r="CW27" s="515" t="str">
        <f>IF(C27="","",IF(OR(L27="Perpetual",L27="NA",0=LEN(L27)),"Perpetual",IF(O27="Y",ROUND(MIN(YEARFRAC($CW$22,SUM(Q27)),YEARFRAC($CW$22,L27)),2),ROUND(YEARFRAC($CW$22,L27),2))))</f>
        <v/>
      </c>
      <c r="CX27" s="516">
        <f>IF(OR(CW27="Perpetual",AB27="Lock-in"),$CX$22,MIN($CX$22,SUM(CW27)))/$CX$22</f>
        <v>0</v>
      </c>
    </row>
    <row r="28" spans="2:102" s="410" customFormat="1" x14ac:dyDescent="0.2">
      <c r="B28" s="169">
        <v>2</v>
      </c>
      <c r="C28" s="517"/>
      <c r="D28" s="518"/>
      <c r="E28" s="519"/>
      <c r="F28" s="518"/>
      <c r="G28" s="518"/>
      <c r="H28" s="518"/>
      <c r="I28" s="518"/>
      <c r="J28" s="519"/>
      <c r="K28" s="520"/>
      <c r="L28" s="520"/>
      <c r="M28" s="520"/>
      <c r="N28" s="521" t="str">
        <f t="shared" ref="N28:N91" si="21">IF(C28="","",IF(AND(O28="Y",Q28&lt;&gt;""),ROUND(YEARFRAC(K28,Q28),2),IF(OR(L28="Perpetual",L28="NA",ISBLANK(L28)),"Perpetual",ROUND(YEARFRAC(K28,L28),2))))</f>
        <v/>
      </c>
      <c r="O28" s="522"/>
      <c r="P28" s="522"/>
      <c r="Q28" s="520"/>
      <c r="R28" s="522"/>
      <c r="S28" s="522"/>
      <c r="T28" s="523"/>
      <c r="U28" s="522"/>
      <c r="V28" s="519"/>
      <c r="W28" s="522"/>
      <c r="X28" s="523"/>
      <c r="Y28" s="522"/>
      <c r="Z28" s="522"/>
      <c r="AA28" s="522"/>
      <c r="AB28" s="522"/>
      <c r="AC28" s="524"/>
      <c r="AD28" s="525"/>
      <c r="AE28" s="525"/>
      <c r="AF28" s="522"/>
      <c r="AG28" s="522"/>
      <c r="AH28" s="522"/>
      <c r="AI28" s="522"/>
      <c r="AJ28" s="522"/>
      <c r="AK28" s="522"/>
      <c r="AL28" s="522"/>
      <c r="AM28" s="526"/>
      <c r="AN28" s="506"/>
      <c r="AO28" s="527" t="str">
        <f t="shared" si="0"/>
        <v/>
      </c>
      <c r="AP28" s="528" t="str">
        <f t="shared" ref="AP28:AP91" si="22">IF(C28="","",IF(AO28="Non-Qualifying",0,AD28*CX28))</f>
        <v/>
      </c>
      <c r="AQ28" s="506"/>
      <c r="AR28" s="527" t="str">
        <f t="shared" si="1"/>
        <v/>
      </c>
      <c r="AS28" s="528" t="str">
        <f t="shared" ref="AS28:AS91" si="23">IF(C28="","",IF(AR28="Non-Qualifying",0,AD28*CX28))</f>
        <v/>
      </c>
      <c r="AT28" s="506"/>
      <c r="AU28" s="506"/>
      <c r="AV28" s="494"/>
      <c r="AW28" s="169">
        <v>2</v>
      </c>
      <c r="AX28" s="529"/>
      <c r="AY28" s="522"/>
      <c r="AZ28" s="524"/>
      <c r="BA28" s="524"/>
      <c r="BB28" s="524"/>
      <c r="BC28" s="524"/>
      <c r="BD28" s="524"/>
      <c r="BE28" s="524"/>
      <c r="BF28" s="524"/>
      <c r="BG28" s="530"/>
      <c r="BH28" s="424"/>
      <c r="BI28" s="424"/>
      <c r="BJ28" s="531" t="str">
        <f t="shared" si="2"/>
        <v/>
      </c>
      <c r="BK28" s="532" t="str">
        <f t="shared" si="3"/>
        <v/>
      </c>
      <c r="BL28" s="532" t="str">
        <f t="shared" ref="BL28:BL91" si="24">IF($C28="","",IF(D28="","ERROR",IF(H28="Instrument is the most subordinate","Y","N")))</f>
        <v/>
      </c>
      <c r="BM28" s="532" t="str">
        <f t="shared" ref="BM28:BM91" si="25">IF($C28="","",IF(OR(L28="Perpetual",L28=""),"Y","N"))</f>
        <v/>
      </c>
      <c r="BN28" s="532" t="str">
        <f t="shared" ref="BN28:BN91" si="26">IF($C28="","","N")</f>
        <v/>
      </c>
      <c r="BO28" s="532" t="str">
        <f t="shared" si="4"/>
        <v/>
      </c>
      <c r="BP28" s="532" t="str">
        <f t="shared" si="5"/>
        <v/>
      </c>
      <c r="BQ28" s="532" t="str">
        <f t="shared" si="6"/>
        <v/>
      </c>
      <c r="BR28" s="532" t="str">
        <f t="shared" si="7"/>
        <v/>
      </c>
      <c r="BS28" s="532" t="str">
        <f t="shared" si="8"/>
        <v/>
      </c>
      <c r="BT28" s="532" t="str">
        <f t="shared" ref="BT28:BT91" si="27">IF($C28="","",IF(H28="","ERROR",IF(OR(H28="Policyholders, non-subordinated creditors and holders of Tier 2 instruments", H28="Instrument is the most subordinate"),"Y","N")))</f>
        <v/>
      </c>
      <c r="BU28" s="532" t="str">
        <f t="shared" ref="BU28:BU91" si="28">IF($C28="","",IF(AND(ROUND(YEARFRAC(SUM(K28),SUM(M28)),2)&gt;=5,AA28="Y"),"Y",  IF(AND(IF(L28="Perpetual",TRUE,ROUND(YEARFRAC(SUM(K28),SUM(L28)),2)&gt;=5 ),AA28="Y"),"Y[BCR]",  "N") ))</f>
        <v/>
      </c>
      <c r="BV28" s="532" t="str">
        <f t="shared" si="9"/>
        <v/>
      </c>
      <c r="BW28" s="532" t="str">
        <f t="shared" si="10"/>
        <v/>
      </c>
      <c r="BX28" s="532" t="str">
        <f t="shared" si="11"/>
        <v/>
      </c>
      <c r="BY28" s="532" t="str">
        <f t="shared" si="11"/>
        <v/>
      </c>
      <c r="BZ28" s="532" t="str">
        <f t="shared" si="11"/>
        <v/>
      </c>
      <c r="CA28" s="532" t="str">
        <f t="shared" ref="CA28:CA91" si="29">IF($C28="","",IF(H28="","ERROR",IF(OR(H28="Policyholders and non-subordinated creditors",H28="Policyholders, non-subordinated creditors and holders of Tier 2 instruments", H28="Instrument is the most subordinate"), "Y", "N")))</f>
        <v/>
      </c>
      <c r="CB28" s="532" t="str">
        <f t="shared" si="12"/>
        <v/>
      </c>
      <c r="CC28" s="532" t="str">
        <f t="shared" ref="CC28:CC91" si="30">IF($C28="","",IF(OR(N28="Perpetual",N28&gt;=5),"Y","N"))</f>
        <v/>
      </c>
      <c r="CD28" s="532" t="str">
        <f t="shared" ref="CD28:CD91" si="31">IF($C28="","",IF(OR(AB28="",AND(AB28="Amortization",AC28="")),"ERROR",IF(OR(AND(AB28="Amortization",SUM(AC28)&gt;=5),AB28="Lock-in"),"Y",IF(OR(L28="Perpetual",L28=""),"N/A","N"))))</f>
        <v/>
      </c>
      <c r="CE28" s="532" t="str">
        <f t="shared" si="13"/>
        <v/>
      </c>
      <c r="CF28" s="533" t="str">
        <f t="shared" si="14"/>
        <v/>
      </c>
      <c r="CG28" s="534" t="str">
        <f t="shared" ref="CG28:CG91" si="32">IF($C28="","",IF(S28="","ERROR",IF(S28="Y","N","")))</f>
        <v/>
      </c>
      <c r="CH28" s="424"/>
      <c r="CI28" s="531" t="str">
        <f t="shared" ref="CI28:CI91" si="33">IF(C28="","",IF(OR(BJ28="ERROR",BM28="ERROR",BO28="ERROR",BQ28="ERROR",BU28="ERROR",BX28="ERROR",CB28="ERROR",CG28="ERROR"),"ERROR","OK"))</f>
        <v/>
      </c>
      <c r="CJ28" s="534" t="str">
        <f t="shared" ref="CJ28:CJ91" si="34">IF(C28="","",IF(OR(BJ28="ERROR",BQ28="ERROR",BU28="ERROR",BX28="ERROR",CB28="ERROR",CD28="ERROR",CE28="ERROR"),"ERROR","OK"))</f>
        <v/>
      </c>
      <c r="CK28" s="424"/>
      <c r="CL28" s="531" t="str">
        <f t="shared" ref="CL28:CL91" si="35">IF(C28="","",IF(D28="Shares - Com/Ord","Y",IF(CI28="ERROR","ERROR",IF(AND(BJ28="Y",BM28="Y",BO28="N",BQ28="N", LEFT(BU28,1)="Y",BX28="N",CB28="Y",CG28="N"),"Y","N"))))</f>
        <v/>
      </c>
      <c r="CM28" s="534" t="str">
        <f t="shared" ref="CM28:CM91" si="36">IF($CL28="Y","-",IF(C28="","",IF(CJ28="ERROR","ERROR",IF(AND(BJ28="Y",BQ28="N",LEFT(BU28,1)="Y",BX28="N",CB28="Y",CE28="Y"),"Y","N"))))</f>
        <v/>
      </c>
      <c r="CN28" s="424"/>
      <c r="CO28" s="531" t="str">
        <f t="shared" si="15"/>
        <v/>
      </c>
      <c r="CP28" s="532" t="str">
        <f t="shared" si="16"/>
        <v/>
      </c>
      <c r="CQ28" s="534" t="str">
        <f t="shared" si="17"/>
        <v/>
      </c>
      <c r="CR28" s="424"/>
      <c r="CS28" s="531" t="str">
        <f t="shared" si="18"/>
        <v/>
      </c>
      <c r="CT28" s="532" t="str">
        <f t="shared" si="19"/>
        <v/>
      </c>
      <c r="CU28" s="534" t="str">
        <f t="shared" si="20"/>
        <v/>
      </c>
      <c r="CW28" s="535" t="str">
        <f t="shared" ref="CW28:CW91" si="37">IF(C28="","",IF(OR(L28="Perpetual",L28="NA",0=LEN(L28)),"Perpetual",IF(O28="Y",ROUND(MIN(YEARFRAC($CW$22,SUM(Q28)),YEARFRAC($CW$22,L28)),2),ROUND(YEARFRAC($CW$22,L28),2))))</f>
        <v/>
      </c>
      <c r="CX28" s="536">
        <f t="shared" ref="CX28:CX91" si="38">IF(OR(CW28="Perpetual",AB28="Lock-in"),$CX$22,MIN($CX$22,SUM(CW28)))/$CX$22</f>
        <v>0</v>
      </c>
    </row>
    <row r="29" spans="2:102" s="410" customFormat="1" x14ac:dyDescent="0.2">
      <c r="B29" s="169">
        <v>3</v>
      </c>
      <c r="C29" s="517"/>
      <c r="D29" s="518"/>
      <c r="E29" s="519"/>
      <c r="F29" s="518"/>
      <c r="G29" s="518"/>
      <c r="H29" s="518"/>
      <c r="I29" s="518"/>
      <c r="J29" s="519"/>
      <c r="K29" s="520"/>
      <c r="L29" s="520"/>
      <c r="M29" s="520"/>
      <c r="N29" s="521" t="str">
        <f t="shared" si="21"/>
        <v/>
      </c>
      <c r="O29" s="522"/>
      <c r="P29" s="522"/>
      <c r="Q29" s="520"/>
      <c r="R29" s="522"/>
      <c r="S29" s="522"/>
      <c r="T29" s="523"/>
      <c r="U29" s="522"/>
      <c r="V29" s="519"/>
      <c r="W29" s="522"/>
      <c r="X29" s="523"/>
      <c r="Y29" s="522"/>
      <c r="Z29" s="522"/>
      <c r="AA29" s="522"/>
      <c r="AB29" s="522"/>
      <c r="AC29" s="524"/>
      <c r="AD29" s="525"/>
      <c r="AE29" s="525"/>
      <c r="AF29" s="522"/>
      <c r="AG29" s="522"/>
      <c r="AH29" s="522"/>
      <c r="AI29" s="522"/>
      <c r="AJ29" s="522"/>
      <c r="AK29" s="522"/>
      <c r="AL29" s="522"/>
      <c r="AM29" s="526"/>
      <c r="AN29" s="506"/>
      <c r="AO29" s="527" t="str">
        <f t="shared" si="0"/>
        <v/>
      </c>
      <c r="AP29" s="528" t="str">
        <f t="shared" si="22"/>
        <v/>
      </c>
      <c r="AQ29" s="506"/>
      <c r="AR29" s="527" t="str">
        <f t="shared" si="1"/>
        <v/>
      </c>
      <c r="AS29" s="528" t="str">
        <f t="shared" si="23"/>
        <v/>
      </c>
      <c r="AT29" s="506"/>
      <c r="AU29" s="506"/>
      <c r="AV29" s="494"/>
      <c r="AW29" s="169">
        <v>3</v>
      </c>
      <c r="AX29" s="529"/>
      <c r="AY29" s="522"/>
      <c r="AZ29" s="524"/>
      <c r="BA29" s="524"/>
      <c r="BB29" s="524"/>
      <c r="BC29" s="524"/>
      <c r="BD29" s="524"/>
      <c r="BE29" s="524"/>
      <c r="BF29" s="524"/>
      <c r="BG29" s="530"/>
      <c r="BH29" s="424"/>
      <c r="BI29" s="424"/>
      <c r="BJ29" s="531" t="str">
        <f t="shared" si="2"/>
        <v/>
      </c>
      <c r="BK29" s="532" t="str">
        <f t="shared" si="3"/>
        <v/>
      </c>
      <c r="BL29" s="532" t="str">
        <f t="shared" si="24"/>
        <v/>
      </c>
      <c r="BM29" s="532" t="str">
        <f t="shared" si="25"/>
        <v/>
      </c>
      <c r="BN29" s="532" t="str">
        <f t="shared" si="26"/>
        <v/>
      </c>
      <c r="BO29" s="532" t="str">
        <f t="shared" si="4"/>
        <v/>
      </c>
      <c r="BP29" s="532" t="str">
        <f t="shared" si="5"/>
        <v/>
      </c>
      <c r="BQ29" s="532" t="str">
        <f t="shared" si="6"/>
        <v/>
      </c>
      <c r="BR29" s="532" t="str">
        <f t="shared" si="7"/>
        <v/>
      </c>
      <c r="BS29" s="532" t="str">
        <f t="shared" si="8"/>
        <v/>
      </c>
      <c r="BT29" s="532" t="str">
        <f t="shared" si="27"/>
        <v/>
      </c>
      <c r="BU29" s="532" t="str">
        <f t="shared" si="28"/>
        <v/>
      </c>
      <c r="BV29" s="532" t="str">
        <f t="shared" si="9"/>
        <v/>
      </c>
      <c r="BW29" s="532" t="str">
        <f t="shared" si="10"/>
        <v/>
      </c>
      <c r="BX29" s="532" t="str">
        <f t="shared" si="11"/>
        <v/>
      </c>
      <c r="BY29" s="532" t="str">
        <f t="shared" si="11"/>
        <v/>
      </c>
      <c r="BZ29" s="532" t="str">
        <f t="shared" si="11"/>
        <v/>
      </c>
      <c r="CA29" s="532" t="str">
        <f t="shared" si="29"/>
        <v/>
      </c>
      <c r="CB29" s="532" t="str">
        <f t="shared" si="12"/>
        <v/>
      </c>
      <c r="CC29" s="532" t="str">
        <f t="shared" si="30"/>
        <v/>
      </c>
      <c r="CD29" s="532" t="str">
        <f t="shared" si="31"/>
        <v/>
      </c>
      <c r="CE29" s="532" t="str">
        <f t="shared" si="13"/>
        <v/>
      </c>
      <c r="CF29" s="533" t="str">
        <f t="shared" si="14"/>
        <v/>
      </c>
      <c r="CG29" s="534" t="str">
        <f t="shared" si="32"/>
        <v/>
      </c>
      <c r="CH29" s="424"/>
      <c r="CI29" s="531" t="str">
        <f t="shared" si="33"/>
        <v/>
      </c>
      <c r="CJ29" s="534" t="str">
        <f t="shared" si="34"/>
        <v/>
      </c>
      <c r="CK29" s="424"/>
      <c r="CL29" s="531" t="str">
        <f t="shared" si="35"/>
        <v/>
      </c>
      <c r="CM29" s="534" t="str">
        <f t="shared" si="36"/>
        <v/>
      </c>
      <c r="CN29" s="424"/>
      <c r="CO29" s="531" t="str">
        <f t="shared" si="15"/>
        <v/>
      </c>
      <c r="CP29" s="532" t="str">
        <f t="shared" si="16"/>
        <v/>
      </c>
      <c r="CQ29" s="534" t="str">
        <f t="shared" si="17"/>
        <v/>
      </c>
      <c r="CR29" s="424"/>
      <c r="CS29" s="531" t="str">
        <f t="shared" si="18"/>
        <v/>
      </c>
      <c r="CT29" s="532" t="str">
        <f t="shared" si="19"/>
        <v/>
      </c>
      <c r="CU29" s="534" t="str">
        <f t="shared" si="20"/>
        <v/>
      </c>
      <c r="CW29" s="535" t="str">
        <f t="shared" si="37"/>
        <v/>
      </c>
      <c r="CX29" s="536">
        <f t="shared" si="38"/>
        <v>0</v>
      </c>
    </row>
    <row r="30" spans="2:102" s="410" customFormat="1" x14ac:dyDescent="0.2">
      <c r="B30" s="169">
        <v>4</v>
      </c>
      <c r="C30" s="517"/>
      <c r="D30" s="518"/>
      <c r="E30" s="519"/>
      <c r="F30" s="518"/>
      <c r="G30" s="518"/>
      <c r="H30" s="518"/>
      <c r="I30" s="518"/>
      <c r="J30" s="519"/>
      <c r="K30" s="520"/>
      <c r="L30" s="520"/>
      <c r="M30" s="520"/>
      <c r="N30" s="521" t="str">
        <f t="shared" si="21"/>
        <v/>
      </c>
      <c r="O30" s="522"/>
      <c r="P30" s="522"/>
      <c r="Q30" s="520"/>
      <c r="R30" s="522"/>
      <c r="S30" s="522"/>
      <c r="T30" s="523"/>
      <c r="U30" s="522"/>
      <c r="V30" s="519"/>
      <c r="W30" s="522"/>
      <c r="X30" s="523"/>
      <c r="Y30" s="522"/>
      <c r="Z30" s="522"/>
      <c r="AA30" s="522"/>
      <c r="AB30" s="522"/>
      <c r="AC30" s="524"/>
      <c r="AD30" s="525"/>
      <c r="AE30" s="525"/>
      <c r="AF30" s="522"/>
      <c r="AG30" s="522"/>
      <c r="AH30" s="522"/>
      <c r="AI30" s="522"/>
      <c r="AJ30" s="522"/>
      <c r="AK30" s="522"/>
      <c r="AL30" s="522"/>
      <c r="AM30" s="526"/>
      <c r="AN30" s="506"/>
      <c r="AO30" s="527" t="str">
        <f t="shared" si="0"/>
        <v/>
      </c>
      <c r="AP30" s="528" t="str">
        <f t="shared" si="22"/>
        <v/>
      </c>
      <c r="AQ30" s="506"/>
      <c r="AR30" s="527" t="str">
        <f t="shared" si="1"/>
        <v/>
      </c>
      <c r="AS30" s="528" t="str">
        <f t="shared" si="23"/>
        <v/>
      </c>
      <c r="AT30" s="506"/>
      <c r="AU30" s="506"/>
      <c r="AV30" s="494"/>
      <c r="AW30" s="169">
        <v>4</v>
      </c>
      <c r="AX30" s="529"/>
      <c r="AY30" s="522"/>
      <c r="AZ30" s="524"/>
      <c r="BA30" s="524"/>
      <c r="BB30" s="524"/>
      <c r="BC30" s="524"/>
      <c r="BD30" s="524"/>
      <c r="BE30" s="524"/>
      <c r="BF30" s="524"/>
      <c r="BG30" s="530"/>
      <c r="BH30" s="424"/>
      <c r="BI30" s="424"/>
      <c r="BJ30" s="531" t="str">
        <f t="shared" si="2"/>
        <v/>
      </c>
      <c r="BK30" s="532" t="str">
        <f t="shared" si="3"/>
        <v/>
      </c>
      <c r="BL30" s="532" t="str">
        <f t="shared" si="24"/>
        <v/>
      </c>
      <c r="BM30" s="532" t="str">
        <f t="shared" si="25"/>
        <v/>
      </c>
      <c r="BN30" s="532" t="str">
        <f t="shared" si="26"/>
        <v/>
      </c>
      <c r="BO30" s="532" t="str">
        <f t="shared" si="4"/>
        <v/>
      </c>
      <c r="BP30" s="532" t="str">
        <f t="shared" si="5"/>
        <v/>
      </c>
      <c r="BQ30" s="532" t="str">
        <f t="shared" si="6"/>
        <v/>
      </c>
      <c r="BR30" s="532" t="str">
        <f t="shared" si="7"/>
        <v/>
      </c>
      <c r="BS30" s="532" t="str">
        <f t="shared" si="8"/>
        <v/>
      </c>
      <c r="BT30" s="532" t="str">
        <f t="shared" si="27"/>
        <v/>
      </c>
      <c r="BU30" s="532" t="str">
        <f t="shared" si="28"/>
        <v/>
      </c>
      <c r="BV30" s="532" t="str">
        <f t="shared" si="9"/>
        <v/>
      </c>
      <c r="BW30" s="532" t="str">
        <f t="shared" si="10"/>
        <v/>
      </c>
      <c r="BX30" s="532" t="str">
        <f t="shared" si="11"/>
        <v/>
      </c>
      <c r="BY30" s="532" t="str">
        <f t="shared" si="11"/>
        <v/>
      </c>
      <c r="BZ30" s="532" t="str">
        <f t="shared" si="11"/>
        <v/>
      </c>
      <c r="CA30" s="532" t="str">
        <f t="shared" si="29"/>
        <v/>
      </c>
      <c r="CB30" s="532" t="str">
        <f t="shared" si="12"/>
        <v/>
      </c>
      <c r="CC30" s="532" t="str">
        <f t="shared" si="30"/>
        <v/>
      </c>
      <c r="CD30" s="532" t="str">
        <f t="shared" si="31"/>
        <v/>
      </c>
      <c r="CE30" s="532" t="str">
        <f t="shared" si="13"/>
        <v/>
      </c>
      <c r="CF30" s="533" t="str">
        <f t="shared" si="14"/>
        <v/>
      </c>
      <c r="CG30" s="534" t="str">
        <f t="shared" si="32"/>
        <v/>
      </c>
      <c r="CH30" s="424"/>
      <c r="CI30" s="531" t="str">
        <f t="shared" si="33"/>
        <v/>
      </c>
      <c r="CJ30" s="534" t="str">
        <f t="shared" si="34"/>
        <v/>
      </c>
      <c r="CK30" s="424"/>
      <c r="CL30" s="531" t="str">
        <f t="shared" si="35"/>
        <v/>
      </c>
      <c r="CM30" s="534" t="str">
        <f t="shared" si="36"/>
        <v/>
      </c>
      <c r="CN30" s="424"/>
      <c r="CO30" s="531" t="str">
        <f t="shared" si="15"/>
        <v/>
      </c>
      <c r="CP30" s="532" t="str">
        <f t="shared" si="16"/>
        <v/>
      </c>
      <c r="CQ30" s="534" t="str">
        <f t="shared" si="17"/>
        <v/>
      </c>
      <c r="CR30" s="424"/>
      <c r="CS30" s="531" t="str">
        <f t="shared" si="18"/>
        <v/>
      </c>
      <c r="CT30" s="532" t="str">
        <f t="shared" si="19"/>
        <v/>
      </c>
      <c r="CU30" s="534" t="str">
        <f t="shared" si="20"/>
        <v/>
      </c>
      <c r="CW30" s="535" t="str">
        <f t="shared" si="37"/>
        <v/>
      </c>
      <c r="CX30" s="536">
        <f t="shared" si="38"/>
        <v>0</v>
      </c>
    </row>
    <row r="31" spans="2:102" s="410" customFormat="1" x14ac:dyDescent="0.2">
      <c r="B31" s="169">
        <v>5</v>
      </c>
      <c r="C31" s="517"/>
      <c r="D31" s="518"/>
      <c r="E31" s="519"/>
      <c r="F31" s="518"/>
      <c r="G31" s="518"/>
      <c r="H31" s="518"/>
      <c r="I31" s="518"/>
      <c r="J31" s="519"/>
      <c r="K31" s="520"/>
      <c r="L31" s="520"/>
      <c r="M31" s="520"/>
      <c r="N31" s="521" t="str">
        <f t="shared" si="21"/>
        <v/>
      </c>
      <c r="O31" s="522"/>
      <c r="P31" s="522"/>
      <c r="Q31" s="520"/>
      <c r="R31" s="522"/>
      <c r="S31" s="522"/>
      <c r="T31" s="523"/>
      <c r="U31" s="522"/>
      <c r="V31" s="519"/>
      <c r="W31" s="522"/>
      <c r="X31" s="523"/>
      <c r="Y31" s="522"/>
      <c r="Z31" s="522"/>
      <c r="AA31" s="522"/>
      <c r="AB31" s="522"/>
      <c r="AC31" s="524"/>
      <c r="AD31" s="525"/>
      <c r="AE31" s="525"/>
      <c r="AF31" s="522"/>
      <c r="AG31" s="522"/>
      <c r="AH31" s="522"/>
      <c r="AI31" s="522"/>
      <c r="AJ31" s="522"/>
      <c r="AK31" s="522"/>
      <c r="AL31" s="522"/>
      <c r="AM31" s="526"/>
      <c r="AN31" s="506"/>
      <c r="AO31" s="527" t="str">
        <f t="shared" si="0"/>
        <v/>
      </c>
      <c r="AP31" s="528" t="str">
        <f t="shared" si="22"/>
        <v/>
      </c>
      <c r="AQ31" s="506"/>
      <c r="AR31" s="527" t="str">
        <f t="shared" si="1"/>
        <v/>
      </c>
      <c r="AS31" s="528" t="str">
        <f t="shared" si="23"/>
        <v/>
      </c>
      <c r="AT31" s="506"/>
      <c r="AU31" s="506"/>
      <c r="AV31" s="494"/>
      <c r="AW31" s="169">
        <v>5</v>
      </c>
      <c r="AX31" s="529"/>
      <c r="AY31" s="522"/>
      <c r="AZ31" s="524"/>
      <c r="BA31" s="524"/>
      <c r="BB31" s="524"/>
      <c r="BC31" s="524"/>
      <c r="BD31" s="524"/>
      <c r="BE31" s="524"/>
      <c r="BF31" s="524"/>
      <c r="BG31" s="530"/>
      <c r="BH31" s="424"/>
      <c r="BI31" s="424"/>
      <c r="BJ31" s="531" t="str">
        <f t="shared" si="2"/>
        <v/>
      </c>
      <c r="BK31" s="532" t="str">
        <f t="shared" si="3"/>
        <v/>
      </c>
      <c r="BL31" s="532" t="str">
        <f t="shared" si="24"/>
        <v/>
      </c>
      <c r="BM31" s="532" t="str">
        <f t="shared" si="25"/>
        <v/>
      </c>
      <c r="BN31" s="532" t="str">
        <f t="shared" si="26"/>
        <v/>
      </c>
      <c r="BO31" s="532" t="str">
        <f t="shared" si="4"/>
        <v/>
      </c>
      <c r="BP31" s="532" t="str">
        <f t="shared" si="5"/>
        <v/>
      </c>
      <c r="BQ31" s="532" t="str">
        <f t="shared" si="6"/>
        <v/>
      </c>
      <c r="BR31" s="532" t="str">
        <f t="shared" si="7"/>
        <v/>
      </c>
      <c r="BS31" s="532" t="str">
        <f t="shared" si="8"/>
        <v/>
      </c>
      <c r="BT31" s="532" t="str">
        <f t="shared" si="27"/>
        <v/>
      </c>
      <c r="BU31" s="532" t="str">
        <f t="shared" si="28"/>
        <v/>
      </c>
      <c r="BV31" s="532" t="str">
        <f t="shared" si="9"/>
        <v/>
      </c>
      <c r="BW31" s="532" t="str">
        <f t="shared" si="10"/>
        <v/>
      </c>
      <c r="BX31" s="532" t="str">
        <f t="shared" si="11"/>
        <v/>
      </c>
      <c r="BY31" s="532" t="str">
        <f t="shared" si="11"/>
        <v/>
      </c>
      <c r="BZ31" s="532" t="str">
        <f t="shared" si="11"/>
        <v/>
      </c>
      <c r="CA31" s="532" t="str">
        <f t="shared" si="29"/>
        <v/>
      </c>
      <c r="CB31" s="532" t="str">
        <f t="shared" si="12"/>
        <v/>
      </c>
      <c r="CC31" s="532" t="str">
        <f t="shared" si="30"/>
        <v/>
      </c>
      <c r="CD31" s="532" t="str">
        <f t="shared" si="31"/>
        <v/>
      </c>
      <c r="CE31" s="532" t="str">
        <f t="shared" si="13"/>
        <v/>
      </c>
      <c r="CF31" s="533" t="str">
        <f t="shared" si="14"/>
        <v/>
      </c>
      <c r="CG31" s="534" t="str">
        <f t="shared" si="32"/>
        <v/>
      </c>
      <c r="CH31" s="424"/>
      <c r="CI31" s="531" t="str">
        <f t="shared" si="33"/>
        <v/>
      </c>
      <c r="CJ31" s="534" t="str">
        <f t="shared" si="34"/>
        <v/>
      </c>
      <c r="CK31" s="424"/>
      <c r="CL31" s="531" t="str">
        <f t="shared" si="35"/>
        <v/>
      </c>
      <c r="CM31" s="534" t="str">
        <f t="shared" si="36"/>
        <v/>
      </c>
      <c r="CN31" s="424"/>
      <c r="CO31" s="531" t="str">
        <f t="shared" si="15"/>
        <v/>
      </c>
      <c r="CP31" s="532" t="str">
        <f t="shared" si="16"/>
        <v/>
      </c>
      <c r="CQ31" s="534" t="str">
        <f t="shared" si="17"/>
        <v/>
      </c>
      <c r="CR31" s="424"/>
      <c r="CS31" s="531" t="str">
        <f t="shared" si="18"/>
        <v/>
      </c>
      <c r="CT31" s="532" t="str">
        <f t="shared" si="19"/>
        <v/>
      </c>
      <c r="CU31" s="534" t="str">
        <f t="shared" si="20"/>
        <v/>
      </c>
      <c r="CW31" s="535" t="str">
        <f t="shared" si="37"/>
        <v/>
      </c>
      <c r="CX31" s="536">
        <f t="shared" si="38"/>
        <v>0</v>
      </c>
    </row>
    <row r="32" spans="2:102" s="410" customFormat="1" x14ac:dyDescent="0.2">
      <c r="B32" s="169">
        <v>6</v>
      </c>
      <c r="C32" s="517"/>
      <c r="D32" s="518"/>
      <c r="E32" s="519"/>
      <c r="F32" s="518"/>
      <c r="G32" s="518"/>
      <c r="H32" s="518"/>
      <c r="I32" s="518"/>
      <c r="J32" s="519"/>
      <c r="K32" s="520"/>
      <c r="L32" s="520"/>
      <c r="M32" s="520"/>
      <c r="N32" s="521" t="str">
        <f t="shared" si="21"/>
        <v/>
      </c>
      <c r="O32" s="522"/>
      <c r="P32" s="522"/>
      <c r="Q32" s="520"/>
      <c r="R32" s="522"/>
      <c r="S32" s="522"/>
      <c r="T32" s="523"/>
      <c r="U32" s="522"/>
      <c r="V32" s="519"/>
      <c r="W32" s="522"/>
      <c r="X32" s="523"/>
      <c r="Y32" s="522"/>
      <c r="Z32" s="522"/>
      <c r="AA32" s="522"/>
      <c r="AB32" s="522"/>
      <c r="AC32" s="524"/>
      <c r="AD32" s="525"/>
      <c r="AE32" s="525"/>
      <c r="AF32" s="522"/>
      <c r="AG32" s="522"/>
      <c r="AH32" s="522"/>
      <c r="AI32" s="522"/>
      <c r="AJ32" s="522"/>
      <c r="AK32" s="522"/>
      <c r="AL32" s="522"/>
      <c r="AM32" s="526"/>
      <c r="AN32" s="506"/>
      <c r="AO32" s="527" t="str">
        <f t="shared" si="0"/>
        <v/>
      </c>
      <c r="AP32" s="528" t="str">
        <f t="shared" si="22"/>
        <v/>
      </c>
      <c r="AQ32" s="506"/>
      <c r="AR32" s="527" t="str">
        <f t="shared" si="1"/>
        <v/>
      </c>
      <c r="AS32" s="528" t="str">
        <f t="shared" si="23"/>
        <v/>
      </c>
      <c r="AT32" s="506"/>
      <c r="AU32" s="506"/>
      <c r="AV32" s="494"/>
      <c r="AW32" s="169">
        <v>6</v>
      </c>
      <c r="AX32" s="529"/>
      <c r="AY32" s="522"/>
      <c r="AZ32" s="524"/>
      <c r="BA32" s="524"/>
      <c r="BB32" s="524"/>
      <c r="BC32" s="524"/>
      <c r="BD32" s="524"/>
      <c r="BE32" s="524"/>
      <c r="BF32" s="524"/>
      <c r="BG32" s="530"/>
      <c r="BH32" s="424"/>
      <c r="BI32" s="424"/>
      <c r="BJ32" s="531" t="str">
        <f t="shared" si="2"/>
        <v/>
      </c>
      <c r="BK32" s="532" t="str">
        <f t="shared" si="3"/>
        <v/>
      </c>
      <c r="BL32" s="532" t="str">
        <f t="shared" si="24"/>
        <v/>
      </c>
      <c r="BM32" s="532" t="str">
        <f t="shared" si="25"/>
        <v/>
      </c>
      <c r="BN32" s="532" t="str">
        <f t="shared" si="26"/>
        <v/>
      </c>
      <c r="BO32" s="532" t="str">
        <f t="shared" si="4"/>
        <v/>
      </c>
      <c r="BP32" s="532" t="str">
        <f t="shared" si="5"/>
        <v/>
      </c>
      <c r="BQ32" s="532" t="str">
        <f t="shared" si="6"/>
        <v/>
      </c>
      <c r="BR32" s="532" t="str">
        <f t="shared" si="7"/>
        <v/>
      </c>
      <c r="BS32" s="532" t="str">
        <f t="shared" si="8"/>
        <v/>
      </c>
      <c r="BT32" s="532" t="str">
        <f t="shared" si="27"/>
        <v/>
      </c>
      <c r="BU32" s="532" t="str">
        <f t="shared" si="28"/>
        <v/>
      </c>
      <c r="BV32" s="532" t="str">
        <f t="shared" si="9"/>
        <v/>
      </c>
      <c r="BW32" s="532" t="str">
        <f t="shared" si="10"/>
        <v/>
      </c>
      <c r="BX32" s="532" t="str">
        <f t="shared" si="11"/>
        <v/>
      </c>
      <c r="BY32" s="532" t="str">
        <f t="shared" si="11"/>
        <v/>
      </c>
      <c r="BZ32" s="532" t="str">
        <f t="shared" si="11"/>
        <v/>
      </c>
      <c r="CA32" s="532" t="str">
        <f t="shared" si="29"/>
        <v/>
      </c>
      <c r="CB32" s="532" t="str">
        <f t="shared" si="12"/>
        <v/>
      </c>
      <c r="CC32" s="532" t="str">
        <f t="shared" si="30"/>
        <v/>
      </c>
      <c r="CD32" s="532" t="str">
        <f t="shared" si="31"/>
        <v/>
      </c>
      <c r="CE32" s="532" t="str">
        <f t="shared" si="13"/>
        <v/>
      </c>
      <c r="CF32" s="533" t="str">
        <f t="shared" si="14"/>
        <v/>
      </c>
      <c r="CG32" s="534" t="str">
        <f t="shared" si="32"/>
        <v/>
      </c>
      <c r="CH32" s="424"/>
      <c r="CI32" s="531" t="str">
        <f t="shared" si="33"/>
        <v/>
      </c>
      <c r="CJ32" s="534" t="str">
        <f t="shared" si="34"/>
        <v/>
      </c>
      <c r="CK32" s="424"/>
      <c r="CL32" s="531" t="str">
        <f t="shared" si="35"/>
        <v/>
      </c>
      <c r="CM32" s="534" t="str">
        <f t="shared" si="36"/>
        <v/>
      </c>
      <c r="CN32" s="424"/>
      <c r="CO32" s="531" t="str">
        <f t="shared" si="15"/>
        <v/>
      </c>
      <c r="CP32" s="532" t="str">
        <f t="shared" si="16"/>
        <v/>
      </c>
      <c r="CQ32" s="534" t="str">
        <f t="shared" si="17"/>
        <v/>
      </c>
      <c r="CR32" s="424"/>
      <c r="CS32" s="531" t="str">
        <f t="shared" si="18"/>
        <v/>
      </c>
      <c r="CT32" s="532" t="str">
        <f t="shared" si="19"/>
        <v/>
      </c>
      <c r="CU32" s="534" t="str">
        <f t="shared" si="20"/>
        <v/>
      </c>
      <c r="CW32" s="535" t="str">
        <f t="shared" si="37"/>
        <v/>
      </c>
      <c r="CX32" s="536">
        <f t="shared" si="38"/>
        <v>0</v>
      </c>
    </row>
    <row r="33" spans="2:102" s="410" customFormat="1" x14ac:dyDescent="0.2">
      <c r="B33" s="169">
        <v>7</v>
      </c>
      <c r="C33" s="517"/>
      <c r="D33" s="518"/>
      <c r="E33" s="519"/>
      <c r="F33" s="518"/>
      <c r="G33" s="518"/>
      <c r="H33" s="518"/>
      <c r="I33" s="518"/>
      <c r="J33" s="519"/>
      <c r="K33" s="520"/>
      <c r="L33" s="520"/>
      <c r="M33" s="520"/>
      <c r="N33" s="521" t="str">
        <f t="shared" si="21"/>
        <v/>
      </c>
      <c r="O33" s="522"/>
      <c r="P33" s="522"/>
      <c r="Q33" s="520"/>
      <c r="R33" s="522"/>
      <c r="S33" s="522"/>
      <c r="T33" s="523"/>
      <c r="U33" s="522"/>
      <c r="V33" s="519"/>
      <c r="W33" s="522"/>
      <c r="X33" s="523"/>
      <c r="Y33" s="522"/>
      <c r="Z33" s="522"/>
      <c r="AA33" s="522"/>
      <c r="AB33" s="522"/>
      <c r="AC33" s="524"/>
      <c r="AD33" s="525"/>
      <c r="AE33" s="525"/>
      <c r="AF33" s="522"/>
      <c r="AG33" s="522"/>
      <c r="AH33" s="522"/>
      <c r="AI33" s="522"/>
      <c r="AJ33" s="522"/>
      <c r="AK33" s="522"/>
      <c r="AL33" s="522"/>
      <c r="AM33" s="526"/>
      <c r="AN33" s="506"/>
      <c r="AO33" s="527" t="str">
        <f t="shared" si="0"/>
        <v/>
      </c>
      <c r="AP33" s="528" t="str">
        <f t="shared" si="22"/>
        <v/>
      </c>
      <c r="AQ33" s="506"/>
      <c r="AR33" s="527" t="str">
        <f t="shared" si="1"/>
        <v/>
      </c>
      <c r="AS33" s="528" t="str">
        <f t="shared" si="23"/>
        <v/>
      </c>
      <c r="AT33" s="506"/>
      <c r="AU33" s="506"/>
      <c r="AV33" s="494"/>
      <c r="AW33" s="169">
        <v>7</v>
      </c>
      <c r="AX33" s="529"/>
      <c r="AY33" s="522"/>
      <c r="AZ33" s="524"/>
      <c r="BA33" s="524"/>
      <c r="BB33" s="524"/>
      <c r="BC33" s="524"/>
      <c r="BD33" s="524"/>
      <c r="BE33" s="524"/>
      <c r="BF33" s="524"/>
      <c r="BG33" s="530"/>
      <c r="BH33" s="424"/>
      <c r="BI33" s="424"/>
      <c r="BJ33" s="531" t="str">
        <f t="shared" si="2"/>
        <v/>
      </c>
      <c r="BK33" s="532" t="str">
        <f t="shared" si="3"/>
        <v/>
      </c>
      <c r="BL33" s="532" t="str">
        <f t="shared" si="24"/>
        <v/>
      </c>
      <c r="BM33" s="532" t="str">
        <f t="shared" si="25"/>
        <v/>
      </c>
      <c r="BN33" s="532" t="str">
        <f t="shared" si="26"/>
        <v/>
      </c>
      <c r="BO33" s="532" t="str">
        <f t="shared" si="4"/>
        <v/>
      </c>
      <c r="BP33" s="532" t="str">
        <f t="shared" si="5"/>
        <v/>
      </c>
      <c r="BQ33" s="532" t="str">
        <f t="shared" si="6"/>
        <v/>
      </c>
      <c r="BR33" s="532" t="str">
        <f t="shared" si="7"/>
        <v/>
      </c>
      <c r="BS33" s="532" t="str">
        <f t="shared" si="8"/>
        <v/>
      </c>
      <c r="BT33" s="532" t="str">
        <f t="shared" si="27"/>
        <v/>
      </c>
      <c r="BU33" s="532" t="str">
        <f t="shared" si="28"/>
        <v/>
      </c>
      <c r="BV33" s="532" t="str">
        <f t="shared" si="9"/>
        <v/>
      </c>
      <c r="BW33" s="532" t="str">
        <f t="shared" si="10"/>
        <v/>
      </c>
      <c r="BX33" s="532" t="str">
        <f t="shared" si="11"/>
        <v/>
      </c>
      <c r="BY33" s="532" t="str">
        <f t="shared" si="11"/>
        <v/>
      </c>
      <c r="BZ33" s="532" t="str">
        <f t="shared" si="11"/>
        <v/>
      </c>
      <c r="CA33" s="532" t="str">
        <f t="shared" si="29"/>
        <v/>
      </c>
      <c r="CB33" s="532" t="str">
        <f t="shared" si="12"/>
        <v/>
      </c>
      <c r="CC33" s="532" t="str">
        <f t="shared" si="30"/>
        <v/>
      </c>
      <c r="CD33" s="532" t="str">
        <f t="shared" si="31"/>
        <v/>
      </c>
      <c r="CE33" s="532" t="str">
        <f t="shared" si="13"/>
        <v/>
      </c>
      <c r="CF33" s="533" t="str">
        <f t="shared" si="14"/>
        <v/>
      </c>
      <c r="CG33" s="534" t="str">
        <f t="shared" si="32"/>
        <v/>
      </c>
      <c r="CH33" s="424"/>
      <c r="CI33" s="531" t="str">
        <f t="shared" si="33"/>
        <v/>
      </c>
      <c r="CJ33" s="534" t="str">
        <f t="shared" si="34"/>
        <v/>
      </c>
      <c r="CK33" s="424"/>
      <c r="CL33" s="531" t="str">
        <f t="shared" si="35"/>
        <v/>
      </c>
      <c r="CM33" s="534" t="str">
        <f t="shared" si="36"/>
        <v/>
      </c>
      <c r="CN33" s="424"/>
      <c r="CO33" s="531" t="str">
        <f t="shared" si="15"/>
        <v/>
      </c>
      <c r="CP33" s="532" t="str">
        <f t="shared" si="16"/>
        <v/>
      </c>
      <c r="CQ33" s="534" t="str">
        <f t="shared" si="17"/>
        <v/>
      </c>
      <c r="CR33" s="424"/>
      <c r="CS33" s="531" t="str">
        <f t="shared" si="18"/>
        <v/>
      </c>
      <c r="CT33" s="532" t="str">
        <f t="shared" si="19"/>
        <v/>
      </c>
      <c r="CU33" s="534" t="str">
        <f t="shared" si="20"/>
        <v/>
      </c>
      <c r="CW33" s="535" t="str">
        <f t="shared" si="37"/>
        <v/>
      </c>
      <c r="CX33" s="536">
        <f t="shared" si="38"/>
        <v>0</v>
      </c>
    </row>
    <row r="34" spans="2:102" s="410" customFormat="1" x14ac:dyDescent="0.2">
      <c r="B34" s="169">
        <v>8</v>
      </c>
      <c r="C34" s="517"/>
      <c r="D34" s="518"/>
      <c r="E34" s="519"/>
      <c r="F34" s="518"/>
      <c r="G34" s="518"/>
      <c r="H34" s="518"/>
      <c r="I34" s="518"/>
      <c r="J34" s="519"/>
      <c r="K34" s="520"/>
      <c r="L34" s="520"/>
      <c r="M34" s="520"/>
      <c r="N34" s="521" t="str">
        <f t="shared" si="21"/>
        <v/>
      </c>
      <c r="O34" s="522"/>
      <c r="P34" s="522"/>
      <c r="Q34" s="520"/>
      <c r="R34" s="522"/>
      <c r="S34" s="522"/>
      <c r="T34" s="523"/>
      <c r="U34" s="522"/>
      <c r="V34" s="519"/>
      <c r="W34" s="522"/>
      <c r="X34" s="523"/>
      <c r="Y34" s="522"/>
      <c r="Z34" s="522"/>
      <c r="AA34" s="522"/>
      <c r="AB34" s="522"/>
      <c r="AC34" s="524"/>
      <c r="AD34" s="525"/>
      <c r="AE34" s="525"/>
      <c r="AF34" s="522"/>
      <c r="AG34" s="522"/>
      <c r="AH34" s="522"/>
      <c r="AI34" s="522"/>
      <c r="AJ34" s="522"/>
      <c r="AK34" s="522"/>
      <c r="AL34" s="522"/>
      <c r="AM34" s="526"/>
      <c r="AN34" s="506"/>
      <c r="AO34" s="527" t="str">
        <f t="shared" si="0"/>
        <v/>
      </c>
      <c r="AP34" s="528" t="str">
        <f t="shared" si="22"/>
        <v/>
      </c>
      <c r="AQ34" s="506"/>
      <c r="AR34" s="527" t="str">
        <f t="shared" si="1"/>
        <v/>
      </c>
      <c r="AS34" s="528" t="str">
        <f t="shared" si="23"/>
        <v/>
      </c>
      <c r="AT34" s="506"/>
      <c r="AU34" s="506"/>
      <c r="AV34" s="494"/>
      <c r="AW34" s="169">
        <v>8</v>
      </c>
      <c r="AX34" s="529"/>
      <c r="AY34" s="522"/>
      <c r="AZ34" s="524"/>
      <c r="BA34" s="524"/>
      <c r="BB34" s="524"/>
      <c r="BC34" s="524"/>
      <c r="BD34" s="524"/>
      <c r="BE34" s="524"/>
      <c r="BF34" s="524"/>
      <c r="BG34" s="530"/>
      <c r="BH34" s="424"/>
      <c r="BI34" s="424"/>
      <c r="BJ34" s="531" t="str">
        <f t="shared" si="2"/>
        <v/>
      </c>
      <c r="BK34" s="532" t="str">
        <f t="shared" si="3"/>
        <v/>
      </c>
      <c r="BL34" s="532" t="str">
        <f t="shared" si="24"/>
        <v/>
      </c>
      <c r="BM34" s="532" t="str">
        <f t="shared" si="25"/>
        <v/>
      </c>
      <c r="BN34" s="532" t="str">
        <f t="shared" si="26"/>
        <v/>
      </c>
      <c r="BO34" s="532" t="str">
        <f t="shared" si="4"/>
        <v/>
      </c>
      <c r="BP34" s="532" t="str">
        <f t="shared" si="5"/>
        <v/>
      </c>
      <c r="BQ34" s="532" t="str">
        <f t="shared" si="6"/>
        <v/>
      </c>
      <c r="BR34" s="532" t="str">
        <f t="shared" si="7"/>
        <v/>
      </c>
      <c r="BS34" s="532" t="str">
        <f t="shared" si="8"/>
        <v/>
      </c>
      <c r="BT34" s="532" t="str">
        <f t="shared" si="27"/>
        <v/>
      </c>
      <c r="BU34" s="532" t="str">
        <f t="shared" si="28"/>
        <v/>
      </c>
      <c r="BV34" s="532" t="str">
        <f t="shared" si="9"/>
        <v/>
      </c>
      <c r="BW34" s="532" t="str">
        <f t="shared" si="10"/>
        <v/>
      </c>
      <c r="BX34" s="532" t="str">
        <f t="shared" si="11"/>
        <v/>
      </c>
      <c r="BY34" s="532" t="str">
        <f t="shared" si="11"/>
        <v/>
      </c>
      <c r="BZ34" s="532" t="str">
        <f t="shared" si="11"/>
        <v/>
      </c>
      <c r="CA34" s="532" t="str">
        <f t="shared" si="29"/>
        <v/>
      </c>
      <c r="CB34" s="532" t="str">
        <f t="shared" si="12"/>
        <v/>
      </c>
      <c r="CC34" s="532" t="str">
        <f t="shared" si="30"/>
        <v/>
      </c>
      <c r="CD34" s="532" t="str">
        <f t="shared" si="31"/>
        <v/>
      </c>
      <c r="CE34" s="532" t="str">
        <f t="shared" si="13"/>
        <v/>
      </c>
      <c r="CF34" s="533" t="str">
        <f t="shared" si="14"/>
        <v/>
      </c>
      <c r="CG34" s="534" t="str">
        <f t="shared" si="32"/>
        <v/>
      </c>
      <c r="CH34" s="424"/>
      <c r="CI34" s="531" t="str">
        <f t="shared" si="33"/>
        <v/>
      </c>
      <c r="CJ34" s="534" t="str">
        <f t="shared" si="34"/>
        <v/>
      </c>
      <c r="CK34" s="424"/>
      <c r="CL34" s="531" t="str">
        <f t="shared" si="35"/>
        <v/>
      </c>
      <c r="CM34" s="534" t="str">
        <f t="shared" si="36"/>
        <v/>
      </c>
      <c r="CN34" s="424"/>
      <c r="CO34" s="531" t="str">
        <f t="shared" si="15"/>
        <v/>
      </c>
      <c r="CP34" s="532" t="str">
        <f t="shared" si="16"/>
        <v/>
      </c>
      <c r="CQ34" s="534" t="str">
        <f t="shared" si="17"/>
        <v/>
      </c>
      <c r="CR34" s="424"/>
      <c r="CS34" s="531" t="str">
        <f t="shared" si="18"/>
        <v/>
      </c>
      <c r="CT34" s="532" t="str">
        <f t="shared" si="19"/>
        <v/>
      </c>
      <c r="CU34" s="534" t="str">
        <f t="shared" si="20"/>
        <v/>
      </c>
      <c r="CW34" s="535" t="str">
        <f t="shared" si="37"/>
        <v/>
      </c>
      <c r="CX34" s="536">
        <f t="shared" si="38"/>
        <v>0</v>
      </c>
    </row>
    <row r="35" spans="2:102" s="410" customFormat="1" x14ac:dyDescent="0.2">
      <c r="B35" s="169">
        <v>9</v>
      </c>
      <c r="C35" s="517"/>
      <c r="D35" s="518"/>
      <c r="E35" s="519"/>
      <c r="F35" s="518"/>
      <c r="G35" s="518"/>
      <c r="H35" s="518"/>
      <c r="I35" s="518"/>
      <c r="J35" s="519"/>
      <c r="K35" s="520"/>
      <c r="L35" s="520"/>
      <c r="M35" s="520"/>
      <c r="N35" s="521" t="str">
        <f t="shared" si="21"/>
        <v/>
      </c>
      <c r="O35" s="522"/>
      <c r="P35" s="522"/>
      <c r="Q35" s="520"/>
      <c r="R35" s="522"/>
      <c r="S35" s="522"/>
      <c r="T35" s="523"/>
      <c r="U35" s="522"/>
      <c r="V35" s="519"/>
      <c r="W35" s="522"/>
      <c r="X35" s="523"/>
      <c r="Y35" s="522"/>
      <c r="Z35" s="522"/>
      <c r="AA35" s="522"/>
      <c r="AB35" s="522"/>
      <c r="AC35" s="524"/>
      <c r="AD35" s="525"/>
      <c r="AE35" s="525"/>
      <c r="AF35" s="522"/>
      <c r="AG35" s="522"/>
      <c r="AH35" s="522"/>
      <c r="AI35" s="522"/>
      <c r="AJ35" s="522"/>
      <c r="AK35" s="522"/>
      <c r="AL35" s="522"/>
      <c r="AM35" s="526"/>
      <c r="AN35" s="506"/>
      <c r="AO35" s="527" t="str">
        <f t="shared" si="0"/>
        <v/>
      </c>
      <c r="AP35" s="528" t="str">
        <f t="shared" si="22"/>
        <v/>
      </c>
      <c r="AQ35" s="506"/>
      <c r="AR35" s="527" t="str">
        <f t="shared" si="1"/>
        <v/>
      </c>
      <c r="AS35" s="528" t="str">
        <f t="shared" si="23"/>
        <v/>
      </c>
      <c r="AT35" s="506"/>
      <c r="AU35" s="506"/>
      <c r="AV35" s="494"/>
      <c r="AW35" s="169">
        <v>9</v>
      </c>
      <c r="AX35" s="529"/>
      <c r="AY35" s="522"/>
      <c r="AZ35" s="524"/>
      <c r="BA35" s="524"/>
      <c r="BB35" s="524"/>
      <c r="BC35" s="524"/>
      <c r="BD35" s="524"/>
      <c r="BE35" s="524"/>
      <c r="BF35" s="524"/>
      <c r="BG35" s="530"/>
      <c r="BH35" s="424"/>
      <c r="BI35" s="424"/>
      <c r="BJ35" s="531" t="str">
        <f t="shared" si="2"/>
        <v/>
      </c>
      <c r="BK35" s="532" t="str">
        <f t="shared" si="3"/>
        <v/>
      </c>
      <c r="BL35" s="532" t="str">
        <f t="shared" si="24"/>
        <v/>
      </c>
      <c r="BM35" s="532" t="str">
        <f t="shared" si="25"/>
        <v/>
      </c>
      <c r="BN35" s="532" t="str">
        <f t="shared" si="26"/>
        <v/>
      </c>
      <c r="BO35" s="532" t="str">
        <f t="shared" si="4"/>
        <v/>
      </c>
      <c r="BP35" s="532" t="str">
        <f t="shared" si="5"/>
        <v/>
      </c>
      <c r="BQ35" s="532" t="str">
        <f t="shared" si="6"/>
        <v/>
      </c>
      <c r="BR35" s="532" t="str">
        <f t="shared" si="7"/>
        <v/>
      </c>
      <c r="BS35" s="532" t="str">
        <f t="shared" si="8"/>
        <v/>
      </c>
      <c r="BT35" s="532" t="str">
        <f t="shared" si="27"/>
        <v/>
      </c>
      <c r="BU35" s="532" t="str">
        <f t="shared" si="28"/>
        <v/>
      </c>
      <c r="BV35" s="532" t="str">
        <f t="shared" si="9"/>
        <v/>
      </c>
      <c r="BW35" s="532" t="str">
        <f t="shared" si="10"/>
        <v/>
      </c>
      <c r="BX35" s="532" t="str">
        <f t="shared" si="11"/>
        <v/>
      </c>
      <c r="BY35" s="532" t="str">
        <f t="shared" si="11"/>
        <v/>
      </c>
      <c r="BZ35" s="532" t="str">
        <f t="shared" si="11"/>
        <v/>
      </c>
      <c r="CA35" s="532" t="str">
        <f t="shared" si="29"/>
        <v/>
      </c>
      <c r="CB35" s="532" t="str">
        <f t="shared" si="12"/>
        <v/>
      </c>
      <c r="CC35" s="532" t="str">
        <f t="shared" si="30"/>
        <v/>
      </c>
      <c r="CD35" s="532" t="str">
        <f t="shared" si="31"/>
        <v/>
      </c>
      <c r="CE35" s="532" t="str">
        <f t="shared" si="13"/>
        <v/>
      </c>
      <c r="CF35" s="533" t="str">
        <f t="shared" si="14"/>
        <v/>
      </c>
      <c r="CG35" s="534" t="str">
        <f t="shared" si="32"/>
        <v/>
      </c>
      <c r="CH35" s="424"/>
      <c r="CI35" s="531" t="str">
        <f t="shared" si="33"/>
        <v/>
      </c>
      <c r="CJ35" s="534" t="str">
        <f t="shared" si="34"/>
        <v/>
      </c>
      <c r="CK35" s="424"/>
      <c r="CL35" s="531" t="str">
        <f t="shared" si="35"/>
        <v/>
      </c>
      <c r="CM35" s="534" t="str">
        <f t="shared" si="36"/>
        <v/>
      </c>
      <c r="CN35" s="424"/>
      <c r="CO35" s="531" t="str">
        <f t="shared" si="15"/>
        <v/>
      </c>
      <c r="CP35" s="532" t="str">
        <f t="shared" si="16"/>
        <v/>
      </c>
      <c r="CQ35" s="534" t="str">
        <f t="shared" si="17"/>
        <v/>
      </c>
      <c r="CR35" s="424"/>
      <c r="CS35" s="531" t="str">
        <f t="shared" si="18"/>
        <v/>
      </c>
      <c r="CT35" s="532" t="str">
        <f t="shared" si="19"/>
        <v/>
      </c>
      <c r="CU35" s="534" t="str">
        <f t="shared" si="20"/>
        <v/>
      </c>
      <c r="CW35" s="535" t="str">
        <f t="shared" si="37"/>
        <v/>
      </c>
      <c r="CX35" s="536">
        <f t="shared" si="38"/>
        <v>0</v>
      </c>
    </row>
    <row r="36" spans="2:102" s="410" customFormat="1" x14ac:dyDescent="0.2">
      <c r="B36" s="169">
        <v>10</v>
      </c>
      <c r="C36" s="517"/>
      <c r="D36" s="518"/>
      <c r="E36" s="519"/>
      <c r="F36" s="518"/>
      <c r="G36" s="518"/>
      <c r="H36" s="518"/>
      <c r="I36" s="518"/>
      <c r="J36" s="519"/>
      <c r="K36" s="520"/>
      <c r="L36" s="520"/>
      <c r="M36" s="520"/>
      <c r="N36" s="521" t="str">
        <f t="shared" si="21"/>
        <v/>
      </c>
      <c r="O36" s="522"/>
      <c r="P36" s="522"/>
      <c r="Q36" s="520"/>
      <c r="R36" s="522"/>
      <c r="S36" s="522"/>
      <c r="T36" s="523"/>
      <c r="U36" s="522"/>
      <c r="V36" s="519"/>
      <c r="W36" s="522"/>
      <c r="X36" s="523"/>
      <c r="Y36" s="522"/>
      <c r="Z36" s="522"/>
      <c r="AA36" s="522"/>
      <c r="AB36" s="522"/>
      <c r="AC36" s="524"/>
      <c r="AD36" s="525"/>
      <c r="AE36" s="525"/>
      <c r="AF36" s="522"/>
      <c r="AG36" s="522"/>
      <c r="AH36" s="522"/>
      <c r="AI36" s="522"/>
      <c r="AJ36" s="522"/>
      <c r="AK36" s="522"/>
      <c r="AL36" s="522"/>
      <c r="AM36" s="526"/>
      <c r="AN36" s="506"/>
      <c r="AO36" s="527" t="str">
        <f t="shared" si="0"/>
        <v/>
      </c>
      <c r="AP36" s="528" t="str">
        <f t="shared" si="22"/>
        <v/>
      </c>
      <c r="AQ36" s="506"/>
      <c r="AR36" s="527" t="str">
        <f t="shared" si="1"/>
        <v/>
      </c>
      <c r="AS36" s="528" t="str">
        <f t="shared" si="23"/>
        <v/>
      </c>
      <c r="AT36" s="506"/>
      <c r="AU36" s="506"/>
      <c r="AV36" s="494"/>
      <c r="AW36" s="169">
        <v>10</v>
      </c>
      <c r="AX36" s="529"/>
      <c r="AY36" s="522"/>
      <c r="AZ36" s="524"/>
      <c r="BA36" s="524"/>
      <c r="BB36" s="524"/>
      <c r="BC36" s="524"/>
      <c r="BD36" s="524"/>
      <c r="BE36" s="524"/>
      <c r="BF36" s="524"/>
      <c r="BG36" s="530"/>
      <c r="BH36" s="424"/>
      <c r="BI36" s="424"/>
      <c r="BJ36" s="531" t="str">
        <f t="shared" si="2"/>
        <v/>
      </c>
      <c r="BK36" s="532" t="str">
        <f t="shared" si="3"/>
        <v/>
      </c>
      <c r="BL36" s="532" t="str">
        <f t="shared" si="24"/>
        <v/>
      </c>
      <c r="BM36" s="532" t="str">
        <f t="shared" si="25"/>
        <v/>
      </c>
      <c r="BN36" s="532" t="str">
        <f t="shared" si="26"/>
        <v/>
      </c>
      <c r="BO36" s="532" t="str">
        <f t="shared" si="4"/>
        <v/>
      </c>
      <c r="BP36" s="532" t="str">
        <f t="shared" si="5"/>
        <v/>
      </c>
      <c r="BQ36" s="532" t="str">
        <f t="shared" si="6"/>
        <v/>
      </c>
      <c r="BR36" s="532" t="str">
        <f t="shared" si="7"/>
        <v/>
      </c>
      <c r="BS36" s="532" t="str">
        <f t="shared" si="8"/>
        <v/>
      </c>
      <c r="BT36" s="532" t="str">
        <f t="shared" si="27"/>
        <v/>
      </c>
      <c r="BU36" s="532" t="str">
        <f t="shared" si="28"/>
        <v/>
      </c>
      <c r="BV36" s="532" t="str">
        <f t="shared" si="9"/>
        <v/>
      </c>
      <c r="BW36" s="532" t="str">
        <f t="shared" si="10"/>
        <v/>
      </c>
      <c r="BX36" s="532" t="str">
        <f t="shared" si="11"/>
        <v/>
      </c>
      <c r="BY36" s="532" t="str">
        <f t="shared" si="11"/>
        <v/>
      </c>
      <c r="BZ36" s="532" t="str">
        <f t="shared" si="11"/>
        <v/>
      </c>
      <c r="CA36" s="532" t="str">
        <f t="shared" si="29"/>
        <v/>
      </c>
      <c r="CB36" s="532" t="str">
        <f t="shared" si="12"/>
        <v/>
      </c>
      <c r="CC36" s="532" t="str">
        <f t="shared" si="30"/>
        <v/>
      </c>
      <c r="CD36" s="532" t="str">
        <f t="shared" si="31"/>
        <v/>
      </c>
      <c r="CE36" s="532" t="str">
        <f t="shared" si="13"/>
        <v/>
      </c>
      <c r="CF36" s="533" t="str">
        <f t="shared" si="14"/>
        <v/>
      </c>
      <c r="CG36" s="534" t="str">
        <f t="shared" si="32"/>
        <v/>
      </c>
      <c r="CH36" s="424"/>
      <c r="CI36" s="531" t="str">
        <f t="shared" si="33"/>
        <v/>
      </c>
      <c r="CJ36" s="534" t="str">
        <f t="shared" si="34"/>
        <v/>
      </c>
      <c r="CK36" s="424"/>
      <c r="CL36" s="531" t="str">
        <f t="shared" si="35"/>
        <v/>
      </c>
      <c r="CM36" s="534" t="str">
        <f t="shared" si="36"/>
        <v/>
      </c>
      <c r="CN36" s="424"/>
      <c r="CO36" s="531" t="str">
        <f t="shared" si="15"/>
        <v/>
      </c>
      <c r="CP36" s="532" t="str">
        <f t="shared" si="16"/>
        <v/>
      </c>
      <c r="CQ36" s="534" t="str">
        <f t="shared" si="17"/>
        <v/>
      </c>
      <c r="CR36" s="424"/>
      <c r="CS36" s="531" t="str">
        <f t="shared" si="18"/>
        <v/>
      </c>
      <c r="CT36" s="532" t="str">
        <f t="shared" si="19"/>
        <v/>
      </c>
      <c r="CU36" s="534" t="str">
        <f t="shared" si="20"/>
        <v/>
      </c>
      <c r="CW36" s="535" t="str">
        <f t="shared" si="37"/>
        <v/>
      </c>
      <c r="CX36" s="536">
        <f t="shared" si="38"/>
        <v>0</v>
      </c>
    </row>
    <row r="37" spans="2:102" s="410" customFormat="1" x14ac:dyDescent="0.2">
      <c r="B37" s="169">
        <v>11</v>
      </c>
      <c r="C37" s="517"/>
      <c r="D37" s="518"/>
      <c r="E37" s="519"/>
      <c r="F37" s="518"/>
      <c r="G37" s="518"/>
      <c r="H37" s="518"/>
      <c r="I37" s="518"/>
      <c r="J37" s="519"/>
      <c r="K37" s="520"/>
      <c r="L37" s="520"/>
      <c r="M37" s="520"/>
      <c r="N37" s="521" t="str">
        <f t="shared" si="21"/>
        <v/>
      </c>
      <c r="O37" s="522"/>
      <c r="P37" s="522"/>
      <c r="Q37" s="520"/>
      <c r="R37" s="522"/>
      <c r="S37" s="522"/>
      <c r="T37" s="523"/>
      <c r="U37" s="522"/>
      <c r="V37" s="519"/>
      <c r="W37" s="522"/>
      <c r="X37" s="523"/>
      <c r="Y37" s="522"/>
      <c r="Z37" s="522"/>
      <c r="AA37" s="522"/>
      <c r="AB37" s="522"/>
      <c r="AC37" s="524"/>
      <c r="AD37" s="525"/>
      <c r="AE37" s="525"/>
      <c r="AF37" s="522"/>
      <c r="AG37" s="522"/>
      <c r="AH37" s="522"/>
      <c r="AI37" s="522"/>
      <c r="AJ37" s="522"/>
      <c r="AK37" s="522"/>
      <c r="AL37" s="522"/>
      <c r="AM37" s="526"/>
      <c r="AN37" s="506"/>
      <c r="AO37" s="527" t="str">
        <f t="shared" si="0"/>
        <v/>
      </c>
      <c r="AP37" s="528" t="str">
        <f t="shared" si="22"/>
        <v/>
      </c>
      <c r="AQ37" s="506"/>
      <c r="AR37" s="527" t="str">
        <f t="shared" si="1"/>
        <v/>
      </c>
      <c r="AS37" s="528" t="str">
        <f t="shared" si="23"/>
        <v/>
      </c>
      <c r="AT37" s="506"/>
      <c r="AU37" s="506"/>
      <c r="AV37" s="494"/>
      <c r="AW37" s="169">
        <v>11</v>
      </c>
      <c r="AX37" s="529"/>
      <c r="AY37" s="522"/>
      <c r="AZ37" s="524"/>
      <c r="BA37" s="524"/>
      <c r="BB37" s="524"/>
      <c r="BC37" s="524"/>
      <c r="BD37" s="524"/>
      <c r="BE37" s="524"/>
      <c r="BF37" s="524"/>
      <c r="BG37" s="530"/>
      <c r="BH37" s="424"/>
      <c r="BI37" s="424"/>
      <c r="BJ37" s="531" t="str">
        <f t="shared" si="2"/>
        <v/>
      </c>
      <c r="BK37" s="532" t="str">
        <f t="shared" si="3"/>
        <v/>
      </c>
      <c r="BL37" s="532" t="str">
        <f t="shared" si="24"/>
        <v/>
      </c>
      <c r="BM37" s="532" t="str">
        <f t="shared" si="25"/>
        <v/>
      </c>
      <c r="BN37" s="532" t="str">
        <f t="shared" si="26"/>
        <v/>
      </c>
      <c r="BO37" s="532" t="str">
        <f t="shared" si="4"/>
        <v/>
      </c>
      <c r="BP37" s="532" t="str">
        <f t="shared" si="5"/>
        <v/>
      </c>
      <c r="BQ37" s="532" t="str">
        <f t="shared" si="6"/>
        <v/>
      </c>
      <c r="BR37" s="532" t="str">
        <f t="shared" si="7"/>
        <v/>
      </c>
      <c r="BS37" s="532" t="str">
        <f t="shared" si="8"/>
        <v/>
      </c>
      <c r="BT37" s="532" t="str">
        <f t="shared" si="27"/>
        <v/>
      </c>
      <c r="BU37" s="532" t="str">
        <f t="shared" si="28"/>
        <v/>
      </c>
      <c r="BV37" s="532" t="str">
        <f t="shared" si="9"/>
        <v/>
      </c>
      <c r="BW37" s="532" t="str">
        <f t="shared" si="10"/>
        <v/>
      </c>
      <c r="BX37" s="532" t="str">
        <f t="shared" si="11"/>
        <v/>
      </c>
      <c r="BY37" s="532" t="str">
        <f t="shared" si="11"/>
        <v/>
      </c>
      <c r="BZ37" s="532" t="str">
        <f t="shared" si="11"/>
        <v/>
      </c>
      <c r="CA37" s="532" t="str">
        <f t="shared" si="29"/>
        <v/>
      </c>
      <c r="CB37" s="532" t="str">
        <f t="shared" si="12"/>
        <v/>
      </c>
      <c r="CC37" s="532" t="str">
        <f t="shared" si="30"/>
        <v/>
      </c>
      <c r="CD37" s="532" t="str">
        <f t="shared" si="31"/>
        <v/>
      </c>
      <c r="CE37" s="532" t="str">
        <f t="shared" si="13"/>
        <v/>
      </c>
      <c r="CF37" s="533" t="str">
        <f t="shared" si="14"/>
        <v/>
      </c>
      <c r="CG37" s="534" t="str">
        <f t="shared" si="32"/>
        <v/>
      </c>
      <c r="CH37" s="424"/>
      <c r="CI37" s="531" t="str">
        <f t="shared" si="33"/>
        <v/>
      </c>
      <c r="CJ37" s="534" t="str">
        <f t="shared" si="34"/>
        <v/>
      </c>
      <c r="CK37" s="424"/>
      <c r="CL37" s="531" t="str">
        <f t="shared" si="35"/>
        <v/>
      </c>
      <c r="CM37" s="534" t="str">
        <f t="shared" si="36"/>
        <v/>
      </c>
      <c r="CN37" s="424"/>
      <c r="CO37" s="531" t="str">
        <f t="shared" si="15"/>
        <v/>
      </c>
      <c r="CP37" s="532" t="str">
        <f t="shared" si="16"/>
        <v/>
      </c>
      <c r="CQ37" s="534" t="str">
        <f t="shared" si="17"/>
        <v/>
      </c>
      <c r="CR37" s="424"/>
      <c r="CS37" s="531" t="str">
        <f t="shared" si="18"/>
        <v/>
      </c>
      <c r="CT37" s="532" t="str">
        <f t="shared" si="19"/>
        <v/>
      </c>
      <c r="CU37" s="534" t="str">
        <f t="shared" si="20"/>
        <v/>
      </c>
      <c r="CW37" s="535" t="str">
        <f t="shared" si="37"/>
        <v/>
      </c>
      <c r="CX37" s="536">
        <f t="shared" si="38"/>
        <v>0</v>
      </c>
    </row>
    <row r="38" spans="2:102" s="410" customFormat="1" x14ac:dyDescent="0.2">
      <c r="B38" s="169">
        <v>12</v>
      </c>
      <c r="C38" s="517"/>
      <c r="D38" s="518"/>
      <c r="E38" s="519"/>
      <c r="F38" s="518"/>
      <c r="G38" s="518"/>
      <c r="H38" s="518"/>
      <c r="I38" s="518"/>
      <c r="J38" s="519"/>
      <c r="K38" s="520"/>
      <c r="L38" s="520"/>
      <c r="M38" s="520"/>
      <c r="N38" s="521" t="str">
        <f t="shared" si="21"/>
        <v/>
      </c>
      <c r="O38" s="522"/>
      <c r="P38" s="522"/>
      <c r="Q38" s="520"/>
      <c r="R38" s="522"/>
      <c r="S38" s="522"/>
      <c r="T38" s="523"/>
      <c r="U38" s="522"/>
      <c r="V38" s="519"/>
      <c r="W38" s="522"/>
      <c r="X38" s="523"/>
      <c r="Y38" s="522"/>
      <c r="Z38" s="522"/>
      <c r="AA38" s="522"/>
      <c r="AB38" s="522"/>
      <c r="AC38" s="524"/>
      <c r="AD38" s="525"/>
      <c r="AE38" s="525"/>
      <c r="AF38" s="522"/>
      <c r="AG38" s="522"/>
      <c r="AH38" s="522"/>
      <c r="AI38" s="522"/>
      <c r="AJ38" s="522"/>
      <c r="AK38" s="522"/>
      <c r="AL38" s="522"/>
      <c r="AM38" s="526"/>
      <c r="AN38" s="506"/>
      <c r="AO38" s="527" t="str">
        <f t="shared" si="0"/>
        <v/>
      </c>
      <c r="AP38" s="528" t="str">
        <f t="shared" si="22"/>
        <v/>
      </c>
      <c r="AQ38" s="506"/>
      <c r="AR38" s="527" t="str">
        <f t="shared" si="1"/>
        <v/>
      </c>
      <c r="AS38" s="528" t="str">
        <f t="shared" si="23"/>
        <v/>
      </c>
      <c r="AT38" s="506"/>
      <c r="AU38" s="506"/>
      <c r="AV38" s="494"/>
      <c r="AW38" s="169">
        <v>12</v>
      </c>
      <c r="AX38" s="529"/>
      <c r="AY38" s="522"/>
      <c r="AZ38" s="524"/>
      <c r="BA38" s="524"/>
      <c r="BB38" s="524"/>
      <c r="BC38" s="524"/>
      <c r="BD38" s="524"/>
      <c r="BE38" s="524"/>
      <c r="BF38" s="524"/>
      <c r="BG38" s="530"/>
      <c r="BH38" s="424"/>
      <c r="BI38" s="424"/>
      <c r="BJ38" s="531" t="str">
        <f t="shared" si="2"/>
        <v/>
      </c>
      <c r="BK38" s="532" t="str">
        <f t="shared" si="3"/>
        <v/>
      </c>
      <c r="BL38" s="532" t="str">
        <f t="shared" si="24"/>
        <v/>
      </c>
      <c r="BM38" s="532" t="str">
        <f t="shared" si="25"/>
        <v/>
      </c>
      <c r="BN38" s="532" t="str">
        <f t="shared" si="26"/>
        <v/>
      </c>
      <c r="BO38" s="532" t="str">
        <f t="shared" si="4"/>
        <v/>
      </c>
      <c r="BP38" s="532" t="str">
        <f t="shared" si="5"/>
        <v/>
      </c>
      <c r="BQ38" s="532" t="str">
        <f t="shared" si="6"/>
        <v/>
      </c>
      <c r="BR38" s="532" t="str">
        <f t="shared" si="7"/>
        <v/>
      </c>
      <c r="BS38" s="532" t="str">
        <f t="shared" si="8"/>
        <v/>
      </c>
      <c r="BT38" s="532" t="str">
        <f t="shared" si="27"/>
        <v/>
      </c>
      <c r="BU38" s="532" t="str">
        <f t="shared" si="28"/>
        <v/>
      </c>
      <c r="BV38" s="532" t="str">
        <f t="shared" si="9"/>
        <v/>
      </c>
      <c r="BW38" s="532" t="str">
        <f t="shared" si="10"/>
        <v/>
      </c>
      <c r="BX38" s="532" t="str">
        <f t="shared" si="11"/>
        <v/>
      </c>
      <c r="BY38" s="532" t="str">
        <f t="shared" si="11"/>
        <v/>
      </c>
      <c r="BZ38" s="532" t="str">
        <f t="shared" si="11"/>
        <v/>
      </c>
      <c r="CA38" s="532" t="str">
        <f t="shared" si="29"/>
        <v/>
      </c>
      <c r="CB38" s="532" t="str">
        <f t="shared" si="12"/>
        <v/>
      </c>
      <c r="CC38" s="532" t="str">
        <f t="shared" si="30"/>
        <v/>
      </c>
      <c r="CD38" s="532" t="str">
        <f t="shared" si="31"/>
        <v/>
      </c>
      <c r="CE38" s="532" t="str">
        <f t="shared" si="13"/>
        <v/>
      </c>
      <c r="CF38" s="533" t="str">
        <f t="shared" si="14"/>
        <v/>
      </c>
      <c r="CG38" s="534" t="str">
        <f t="shared" si="32"/>
        <v/>
      </c>
      <c r="CH38" s="424"/>
      <c r="CI38" s="531" t="str">
        <f t="shared" si="33"/>
        <v/>
      </c>
      <c r="CJ38" s="534" t="str">
        <f t="shared" si="34"/>
        <v/>
      </c>
      <c r="CK38" s="424"/>
      <c r="CL38" s="531" t="str">
        <f t="shared" si="35"/>
        <v/>
      </c>
      <c r="CM38" s="534" t="str">
        <f t="shared" si="36"/>
        <v/>
      </c>
      <c r="CN38" s="424"/>
      <c r="CO38" s="531" t="str">
        <f t="shared" si="15"/>
        <v/>
      </c>
      <c r="CP38" s="532" t="str">
        <f t="shared" si="16"/>
        <v/>
      </c>
      <c r="CQ38" s="534" t="str">
        <f t="shared" si="17"/>
        <v/>
      </c>
      <c r="CR38" s="424"/>
      <c r="CS38" s="531" t="str">
        <f t="shared" si="18"/>
        <v/>
      </c>
      <c r="CT38" s="532" t="str">
        <f t="shared" si="19"/>
        <v/>
      </c>
      <c r="CU38" s="534" t="str">
        <f t="shared" si="20"/>
        <v/>
      </c>
      <c r="CW38" s="535" t="str">
        <f t="shared" si="37"/>
        <v/>
      </c>
      <c r="CX38" s="536">
        <f t="shared" si="38"/>
        <v>0</v>
      </c>
    </row>
    <row r="39" spans="2:102" s="410" customFormat="1" x14ac:dyDescent="0.2">
      <c r="B39" s="169">
        <v>13</v>
      </c>
      <c r="C39" s="517"/>
      <c r="D39" s="518"/>
      <c r="E39" s="519"/>
      <c r="F39" s="518"/>
      <c r="G39" s="518"/>
      <c r="H39" s="518"/>
      <c r="I39" s="518"/>
      <c r="J39" s="519"/>
      <c r="K39" s="520"/>
      <c r="L39" s="520"/>
      <c r="M39" s="520"/>
      <c r="N39" s="521" t="str">
        <f t="shared" si="21"/>
        <v/>
      </c>
      <c r="O39" s="522"/>
      <c r="P39" s="522"/>
      <c r="Q39" s="520"/>
      <c r="R39" s="522"/>
      <c r="S39" s="522"/>
      <c r="T39" s="523"/>
      <c r="U39" s="522"/>
      <c r="V39" s="519"/>
      <c r="W39" s="522"/>
      <c r="X39" s="523"/>
      <c r="Y39" s="522"/>
      <c r="Z39" s="522"/>
      <c r="AA39" s="522"/>
      <c r="AB39" s="522"/>
      <c r="AC39" s="524"/>
      <c r="AD39" s="525"/>
      <c r="AE39" s="525"/>
      <c r="AF39" s="522"/>
      <c r="AG39" s="522"/>
      <c r="AH39" s="522"/>
      <c r="AI39" s="522"/>
      <c r="AJ39" s="522"/>
      <c r="AK39" s="522"/>
      <c r="AL39" s="522"/>
      <c r="AM39" s="526"/>
      <c r="AN39" s="506"/>
      <c r="AO39" s="527" t="str">
        <f t="shared" si="0"/>
        <v/>
      </c>
      <c r="AP39" s="528" t="str">
        <f t="shared" si="22"/>
        <v/>
      </c>
      <c r="AQ39" s="506"/>
      <c r="AR39" s="527" t="str">
        <f t="shared" si="1"/>
        <v/>
      </c>
      <c r="AS39" s="528" t="str">
        <f t="shared" si="23"/>
        <v/>
      </c>
      <c r="AT39" s="506"/>
      <c r="AU39" s="506"/>
      <c r="AV39" s="494"/>
      <c r="AW39" s="169">
        <v>13</v>
      </c>
      <c r="AX39" s="529"/>
      <c r="AY39" s="522"/>
      <c r="AZ39" s="524"/>
      <c r="BA39" s="524"/>
      <c r="BB39" s="524"/>
      <c r="BC39" s="524"/>
      <c r="BD39" s="524"/>
      <c r="BE39" s="524"/>
      <c r="BF39" s="524"/>
      <c r="BG39" s="530"/>
      <c r="BH39" s="424"/>
      <c r="BI39" s="424"/>
      <c r="BJ39" s="531" t="str">
        <f t="shared" si="2"/>
        <v/>
      </c>
      <c r="BK39" s="532" t="str">
        <f t="shared" si="3"/>
        <v/>
      </c>
      <c r="BL39" s="532" t="str">
        <f t="shared" si="24"/>
        <v/>
      </c>
      <c r="BM39" s="532" t="str">
        <f t="shared" si="25"/>
        <v/>
      </c>
      <c r="BN39" s="532" t="str">
        <f t="shared" si="26"/>
        <v/>
      </c>
      <c r="BO39" s="532" t="str">
        <f t="shared" si="4"/>
        <v/>
      </c>
      <c r="BP39" s="532" t="str">
        <f t="shared" si="5"/>
        <v/>
      </c>
      <c r="BQ39" s="532" t="str">
        <f t="shared" si="6"/>
        <v/>
      </c>
      <c r="BR39" s="532" t="str">
        <f t="shared" si="7"/>
        <v/>
      </c>
      <c r="BS39" s="532" t="str">
        <f t="shared" si="8"/>
        <v/>
      </c>
      <c r="BT39" s="532" t="str">
        <f t="shared" si="27"/>
        <v/>
      </c>
      <c r="BU39" s="532" t="str">
        <f t="shared" si="28"/>
        <v/>
      </c>
      <c r="BV39" s="532" t="str">
        <f t="shared" si="9"/>
        <v/>
      </c>
      <c r="BW39" s="532" t="str">
        <f t="shared" si="10"/>
        <v/>
      </c>
      <c r="BX39" s="532" t="str">
        <f t="shared" si="11"/>
        <v/>
      </c>
      <c r="BY39" s="532" t="str">
        <f t="shared" si="11"/>
        <v/>
      </c>
      <c r="BZ39" s="532" t="str">
        <f t="shared" si="11"/>
        <v/>
      </c>
      <c r="CA39" s="532" t="str">
        <f t="shared" si="29"/>
        <v/>
      </c>
      <c r="CB39" s="532" t="str">
        <f t="shared" si="12"/>
        <v/>
      </c>
      <c r="CC39" s="532" t="str">
        <f t="shared" si="30"/>
        <v/>
      </c>
      <c r="CD39" s="532" t="str">
        <f t="shared" si="31"/>
        <v/>
      </c>
      <c r="CE39" s="532" t="str">
        <f t="shared" si="13"/>
        <v/>
      </c>
      <c r="CF39" s="533" t="str">
        <f t="shared" si="14"/>
        <v/>
      </c>
      <c r="CG39" s="534" t="str">
        <f t="shared" si="32"/>
        <v/>
      </c>
      <c r="CH39" s="424"/>
      <c r="CI39" s="531" t="str">
        <f t="shared" si="33"/>
        <v/>
      </c>
      <c r="CJ39" s="534" t="str">
        <f t="shared" si="34"/>
        <v/>
      </c>
      <c r="CK39" s="424"/>
      <c r="CL39" s="531" t="str">
        <f t="shared" si="35"/>
        <v/>
      </c>
      <c r="CM39" s="534" t="str">
        <f t="shared" si="36"/>
        <v/>
      </c>
      <c r="CN39" s="424"/>
      <c r="CO39" s="531" t="str">
        <f t="shared" si="15"/>
        <v/>
      </c>
      <c r="CP39" s="532" t="str">
        <f t="shared" si="16"/>
        <v/>
      </c>
      <c r="CQ39" s="534" t="str">
        <f t="shared" si="17"/>
        <v/>
      </c>
      <c r="CR39" s="424"/>
      <c r="CS39" s="531" t="str">
        <f t="shared" si="18"/>
        <v/>
      </c>
      <c r="CT39" s="532" t="str">
        <f t="shared" si="19"/>
        <v/>
      </c>
      <c r="CU39" s="534" t="str">
        <f t="shared" si="20"/>
        <v/>
      </c>
      <c r="CW39" s="535" t="str">
        <f t="shared" si="37"/>
        <v/>
      </c>
      <c r="CX39" s="536">
        <f t="shared" si="38"/>
        <v>0</v>
      </c>
    </row>
    <row r="40" spans="2:102" s="410" customFormat="1" x14ac:dyDescent="0.2">
      <c r="B40" s="169">
        <v>14</v>
      </c>
      <c r="C40" s="517"/>
      <c r="D40" s="518"/>
      <c r="E40" s="519"/>
      <c r="F40" s="518"/>
      <c r="G40" s="518"/>
      <c r="H40" s="518"/>
      <c r="I40" s="518"/>
      <c r="J40" s="519"/>
      <c r="K40" s="520"/>
      <c r="L40" s="520"/>
      <c r="M40" s="520"/>
      <c r="N40" s="521" t="str">
        <f t="shared" si="21"/>
        <v/>
      </c>
      <c r="O40" s="522"/>
      <c r="P40" s="522"/>
      <c r="Q40" s="520"/>
      <c r="R40" s="522"/>
      <c r="S40" s="522"/>
      <c r="T40" s="523"/>
      <c r="U40" s="522"/>
      <c r="V40" s="519"/>
      <c r="W40" s="522"/>
      <c r="X40" s="523"/>
      <c r="Y40" s="522"/>
      <c r="Z40" s="522"/>
      <c r="AA40" s="522"/>
      <c r="AB40" s="522"/>
      <c r="AC40" s="524"/>
      <c r="AD40" s="525"/>
      <c r="AE40" s="525"/>
      <c r="AF40" s="522"/>
      <c r="AG40" s="522"/>
      <c r="AH40" s="522"/>
      <c r="AI40" s="522"/>
      <c r="AJ40" s="522"/>
      <c r="AK40" s="522"/>
      <c r="AL40" s="522"/>
      <c r="AM40" s="526"/>
      <c r="AN40" s="506"/>
      <c r="AO40" s="527" t="str">
        <f t="shared" si="0"/>
        <v/>
      </c>
      <c r="AP40" s="528" t="str">
        <f t="shared" si="22"/>
        <v/>
      </c>
      <c r="AQ40" s="506"/>
      <c r="AR40" s="527" t="str">
        <f t="shared" si="1"/>
        <v/>
      </c>
      <c r="AS40" s="528" t="str">
        <f t="shared" si="23"/>
        <v/>
      </c>
      <c r="AT40" s="506"/>
      <c r="AU40" s="506"/>
      <c r="AV40" s="494"/>
      <c r="AW40" s="169">
        <v>14</v>
      </c>
      <c r="AX40" s="529"/>
      <c r="AY40" s="522"/>
      <c r="AZ40" s="524"/>
      <c r="BA40" s="524"/>
      <c r="BB40" s="524"/>
      <c r="BC40" s="524"/>
      <c r="BD40" s="524"/>
      <c r="BE40" s="524"/>
      <c r="BF40" s="524"/>
      <c r="BG40" s="530"/>
      <c r="BH40" s="424"/>
      <c r="BI40" s="424"/>
      <c r="BJ40" s="531" t="str">
        <f t="shared" si="2"/>
        <v/>
      </c>
      <c r="BK40" s="532" t="str">
        <f t="shared" si="3"/>
        <v/>
      </c>
      <c r="BL40" s="532" t="str">
        <f t="shared" si="24"/>
        <v/>
      </c>
      <c r="BM40" s="532" t="str">
        <f t="shared" si="25"/>
        <v/>
      </c>
      <c r="BN40" s="532" t="str">
        <f t="shared" si="26"/>
        <v/>
      </c>
      <c r="BO40" s="532" t="str">
        <f t="shared" si="4"/>
        <v/>
      </c>
      <c r="BP40" s="532" t="str">
        <f t="shared" si="5"/>
        <v/>
      </c>
      <c r="BQ40" s="532" t="str">
        <f t="shared" si="6"/>
        <v/>
      </c>
      <c r="BR40" s="532" t="str">
        <f t="shared" si="7"/>
        <v/>
      </c>
      <c r="BS40" s="532" t="str">
        <f t="shared" si="8"/>
        <v/>
      </c>
      <c r="BT40" s="532" t="str">
        <f t="shared" si="27"/>
        <v/>
      </c>
      <c r="BU40" s="532" t="str">
        <f t="shared" si="28"/>
        <v/>
      </c>
      <c r="BV40" s="532" t="str">
        <f t="shared" si="9"/>
        <v/>
      </c>
      <c r="BW40" s="532" t="str">
        <f t="shared" si="10"/>
        <v/>
      </c>
      <c r="BX40" s="532" t="str">
        <f t="shared" si="11"/>
        <v/>
      </c>
      <c r="BY40" s="532" t="str">
        <f t="shared" si="11"/>
        <v/>
      </c>
      <c r="BZ40" s="532" t="str">
        <f t="shared" si="11"/>
        <v/>
      </c>
      <c r="CA40" s="532" t="str">
        <f t="shared" si="29"/>
        <v/>
      </c>
      <c r="CB40" s="532" t="str">
        <f t="shared" si="12"/>
        <v/>
      </c>
      <c r="CC40" s="532" t="str">
        <f t="shared" si="30"/>
        <v/>
      </c>
      <c r="CD40" s="532" t="str">
        <f t="shared" si="31"/>
        <v/>
      </c>
      <c r="CE40" s="532" t="str">
        <f t="shared" si="13"/>
        <v/>
      </c>
      <c r="CF40" s="533" t="str">
        <f t="shared" si="14"/>
        <v/>
      </c>
      <c r="CG40" s="534" t="str">
        <f t="shared" si="32"/>
        <v/>
      </c>
      <c r="CH40" s="424"/>
      <c r="CI40" s="531" t="str">
        <f t="shared" si="33"/>
        <v/>
      </c>
      <c r="CJ40" s="534" t="str">
        <f t="shared" si="34"/>
        <v/>
      </c>
      <c r="CK40" s="424"/>
      <c r="CL40" s="531" t="str">
        <f t="shared" si="35"/>
        <v/>
      </c>
      <c r="CM40" s="534" t="str">
        <f t="shared" si="36"/>
        <v/>
      </c>
      <c r="CN40" s="424"/>
      <c r="CO40" s="531" t="str">
        <f t="shared" si="15"/>
        <v/>
      </c>
      <c r="CP40" s="532" t="str">
        <f t="shared" si="16"/>
        <v/>
      </c>
      <c r="CQ40" s="534" t="str">
        <f t="shared" si="17"/>
        <v/>
      </c>
      <c r="CR40" s="424"/>
      <c r="CS40" s="531" t="str">
        <f t="shared" si="18"/>
        <v/>
      </c>
      <c r="CT40" s="532" t="str">
        <f t="shared" si="19"/>
        <v/>
      </c>
      <c r="CU40" s="534" t="str">
        <f t="shared" si="20"/>
        <v/>
      </c>
      <c r="CW40" s="535" t="str">
        <f t="shared" si="37"/>
        <v/>
      </c>
      <c r="CX40" s="536">
        <f t="shared" si="38"/>
        <v>0</v>
      </c>
    </row>
    <row r="41" spans="2:102" s="410" customFormat="1" x14ac:dyDescent="0.2">
      <c r="B41" s="169">
        <v>15</v>
      </c>
      <c r="C41" s="517"/>
      <c r="D41" s="518"/>
      <c r="E41" s="519"/>
      <c r="F41" s="518"/>
      <c r="G41" s="518"/>
      <c r="H41" s="518"/>
      <c r="I41" s="518"/>
      <c r="J41" s="519"/>
      <c r="K41" s="520"/>
      <c r="L41" s="520"/>
      <c r="M41" s="520"/>
      <c r="N41" s="521" t="str">
        <f t="shared" si="21"/>
        <v/>
      </c>
      <c r="O41" s="522"/>
      <c r="P41" s="522"/>
      <c r="Q41" s="520"/>
      <c r="R41" s="522"/>
      <c r="S41" s="522"/>
      <c r="T41" s="523"/>
      <c r="U41" s="522"/>
      <c r="V41" s="519"/>
      <c r="W41" s="522"/>
      <c r="X41" s="523"/>
      <c r="Y41" s="522"/>
      <c r="Z41" s="522"/>
      <c r="AA41" s="522"/>
      <c r="AB41" s="522"/>
      <c r="AC41" s="524"/>
      <c r="AD41" s="525"/>
      <c r="AE41" s="525"/>
      <c r="AF41" s="522"/>
      <c r="AG41" s="522"/>
      <c r="AH41" s="522"/>
      <c r="AI41" s="522"/>
      <c r="AJ41" s="522"/>
      <c r="AK41" s="522"/>
      <c r="AL41" s="522"/>
      <c r="AM41" s="526"/>
      <c r="AN41" s="506"/>
      <c r="AO41" s="527" t="str">
        <f t="shared" si="0"/>
        <v/>
      </c>
      <c r="AP41" s="528" t="str">
        <f t="shared" si="22"/>
        <v/>
      </c>
      <c r="AQ41" s="506"/>
      <c r="AR41" s="527" t="str">
        <f t="shared" si="1"/>
        <v/>
      </c>
      <c r="AS41" s="528" t="str">
        <f t="shared" si="23"/>
        <v/>
      </c>
      <c r="AT41" s="506"/>
      <c r="AU41" s="506"/>
      <c r="AV41" s="494"/>
      <c r="AW41" s="169">
        <v>15</v>
      </c>
      <c r="AX41" s="529"/>
      <c r="AY41" s="522"/>
      <c r="AZ41" s="524"/>
      <c r="BA41" s="524"/>
      <c r="BB41" s="524"/>
      <c r="BC41" s="524"/>
      <c r="BD41" s="524"/>
      <c r="BE41" s="524"/>
      <c r="BF41" s="524"/>
      <c r="BG41" s="530"/>
      <c r="BH41" s="424"/>
      <c r="BI41" s="424"/>
      <c r="BJ41" s="531" t="str">
        <f t="shared" si="2"/>
        <v/>
      </c>
      <c r="BK41" s="532" t="str">
        <f t="shared" si="3"/>
        <v/>
      </c>
      <c r="BL41" s="532" t="str">
        <f t="shared" si="24"/>
        <v/>
      </c>
      <c r="BM41" s="532" t="str">
        <f t="shared" si="25"/>
        <v/>
      </c>
      <c r="BN41" s="532" t="str">
        <f t="shared" si="26"/>
        <v/>
      </c>
      <c r="BO41" s="532" t="str">
        <f t="shared" si="4"/>
        <v/>
      </c>
      <c r="BP41" s="532" t="str">
        <f t="shared" si="5"/>
        <v/>
      </c>
      <c r="BQ41" s="532" t="str">
        <f t="shared" si="6"/>
        <v/>
      </c>
      <c r="BR41" s="532" t="str">
        <f t="shared" si="7"/>
        <v/>
      </c>
      <c r="BS41" s="532" t="str">
        <f t="shared" si="8"/>
        <v/>
      </c>
      <c r="BT41" s="532" t="str">
        <f t="shared" si="27"/>
        <v/>
      </c>
      <c r="BU41" s="532" t="str">
        <f t="shared" si="28"/>
        <v/>
      </c>
      <c r="BV41" s="532" t="str">
        <f t="shared" si="9"/>
        <v/>
      </c>
      <c r="BW41" s="532" t="str">
        <f t="shared" si="10"/>
        <v/>
      </c>
      <c r="BX41" s="532" t="str">
        <f t="shared" si="11"/>
        <v/>
      </c>
      <c r="BY41" s="532" t="str">
        <f t="shared" si="11"/>
        <v/>
      </c>
      <c r="BZ41" s="532" t="str">
        <f t="shared" si="11"/>
        <v/>
      </c>
      <c r="CA41" s="532" t="str">
        <f t="shared" si="29"/>
        <v/>
      </c>
      <c r="CB41" s="532" t="str">
        <f t="shared" si="12"/>
        <v/>
      </c>
      <c r="CC41" s="532" t="str">
        <f t="shared" si="30"/>
        <v/>
      </c>
      <c r="CD41" s="532" t="str">
        <f t="shared" si="31"/>
        <v/>
      </c>
      <c r="CE41" s="532" t="str">
        <f t="shared" si="13"/>
        <v/>
      </c>
      <c r="CF41" s="533" t="str">
        <f t="shared" si="14"/>
        <v/>
      </c>
      <c r="CG41" s="534" t="str">
        <f t="shared" si="32"/>
        <v/>
      </c>
      <c r="CH41" s="424"/>
      <c r="CI41" s="531" t="str">
        <f t="shared" si="33"/>
        <v/>
      </c>
      <c r="CJ41" s="534" t="str">
        <f t="shared" si="34"/>
        <v/>
      </c>
      <c r="CK41" s="424"/>
      <c r="CL41" s="531" t="str">
        <f t="shared" si="35"/>
        <v/>
      </c>
      <c r="CM41" s="534" t="str">
        <f t="shared" si="36"/>
        <v/>
      </c>
      <c r="CN41" s="424"/>
      <c r="CO41" s="531" t="str">
        <f t="shared" si="15"/>
        <v/>
      </c>
      <c r="CP41" s="532" t="str">
        <f t="shared" si="16"/>
        <v/>
      </c>
      <c r="CQ41" s="534" t="str">
        <f t="shared" si="17"/>
        <v/>
      </c>
      <c r="CR41" s="424"/>
      <c r="CS41" s="531" t="str">
        <f t="shared" si="18"/>
        <v/>
      </c>
      <c r="CT41" s="532" t="str">
        <f t="shared" si="19"/>
        <v/>
      </c>
      <c r="CU41" s="534" t="str">
        <f t="shared" si="20"/>
        <v/>
      </c>
      <c r="CW41" s="535" t="str">
        <f t="shared" si="37"/>
        <v/>
      </c>
      <c r="CX41" s="536">
        <f t="shared" si="38"/>
        <v>0</v>
      </c>
    </row>
    <row r="42" spans="2:102" s="410" customFormat="1" x14ac:dyDescent="0.2">
      <c r="B42" s="169">
        <v>16</v>
      </c>
      <c r="C42" s="517"/>
      <c r="D42" s="518"/>
      <c r="E42" s="519"/>
      <c r="F42" s="518"/>
      <c r="G42" s="518"/>
      <c r="H42" s="518"/>
      <c r="I42" s="518"/>
      <c r="J42" s="519"/>
      <c r="K42" s="520"/>
      <c r="L42" s="520"/>
      <c r="M42" s="520"/>
      <c r="N42" s="521" t="str">
        <f t="shared" si="21"/>
        <v/>
      </c>
      <c r="O42" s="522"/>
      <c r="P42" s="522"/>
      <c r="Q42" s="520"/>
      <c r="R42" s="522"/>
      <c r="S42" s="522"/>
      <c r="T42" s="523"/>
      <c r="U42" s="522"/>
      <c r="V42" s="519"/>
      <c r="W42" s="522"/>
      <c r="X42" s="523"/>
      <c r="Y42" s="522"/>
      <c r="Z42" s="522"/>
      <c r="AA42" s="522"/>
      <c r="AB42" s="522"/>
      <c r="AC42" s="524"/>
      <c r="AD42" s="525"/>
      <c r="AE42" s="525"/>
      <c r="AF42" s="522"/>
      <c r="AG42" s="522"/>
      <c r="AH42" s="522"/>
      <c r="AI42" s="522"/>
      <c r="AJ42" s="522"/>
      <c r="AK42" s="522"/>
      <c r="AL42" s="522"/>
      <c r="AM42" s="526"/>
      <c r="AN42" s="506"/>
      <c r="AO42" s="527" t="str">
        <f t="shared" si="0"/>
        <v/>
      </c>
      <c r="AP42" s="528" t="str">
        <f t="shared" si="22"/>
        <v/>
      </c>
      <c r="AQ42" s="506"/>
      <c r="AR42" s="527" t="str">
        <f t="shared" si="1"/>
        <v/>
      </c>
      <c r="AS42" s="528" t="str">
        <f t="shared" si="23"/>
        <v/>
      </c>
      <c r="AT42" s="506"/>
      <c r="AU42" s="506"/>
      <c r="AV42" s="494"/>
      <c r="AW42" s="169">
        <v>16</v>
      </c>
      <c r="AX42" s="529"/>
      <c r="AY42" s="522"/>
      <c r="AZ42" s="524"/>
      <c r="BA42" s="524"/>
      <c r="BB42" s="524"/>
      <c r="BC42" s="524"/>
      <c r="BD42" s="524"/>
      <c r="BE42" s="524"/>
      <c r="BF42" s="524"/>
      <c r="BG42" s="530"/>
      <c r="BH42" s="424"/>
      <c r="BI42" s="424"/>
      <c r="BJ42" s="531" t="str">
        <f t="shared" si="2"/>
        <v/>
      </c>
      <c r="BK42" s="532" t="str">
        <f t="shared" si="3"/>
        <v/>
      </c>
      <c r="BL42" s="532" t="str">
        <f t="shared" si="24"/>
        <v/>
      </c>
      <c r="BM42" s="532" t="str">
        <f t="shared" si="25"/>
        <v/>
      </c>
      <c r="BN42" s="532" t="str">
        <f t="shared" si="26"/>
        <v/>
      </c>
      <c r="BO42" s="532" t="str">
        <f t="shared" si="4"/>
        <v/>
      </c>
      <c r="BP42" s="532" t="str">
        <f t="shared" si="5"/>
        <v/>
      </c>
      <c r="BQ42" s="532" t="str">
        <f t="shared" si="6"/>
        <v/>
      </c>
      <c r="BR42" s="532" t="str">
        <f t="shared" si="7"/>
        <v/>
      </c>
      <c r="BS42" s="532" t="str">
        <f t="shared" si="8"/>
        <v/>
      </c>
      <c r="BT42" s="532" t="str">
        <f t="shared" si="27"/>
        <v/>
      </c>
      <c r="BU42" s="532" t="str">
        <f t="shared" si="28"/>
        <v/>
      </c>
      <c r="BV42" s="532" t="str">
        <f t="shared" si="9"/>
        <v/>
      </c>
      <c r="BW42" s="532" t="str">
        <f t="shared" si="10"/>
        <v/>
      </c>
      <c r="BX42" s="532" t="str">
        <f t="shared" si="11"/>
        <v/>
      </c>
      <c r="BY42" s="532" t="str">
        <f t="shared" si="11"/>
        <v/>
      </c>
      <c r="BZ42" s="532" t="str">
        <f t="shared" si="11"/>
        <v/>
      </c>
      <c r="CA42" s="532" t="str">
        <f t="shared" si="29"/>
        <v/>
      </c>
      <c r="CB42" s="532" t="str">
        <f t="shared" si="12"/>
        <v/>
      </c>
      <c r="CC42" s="532" t="str">
        <f t="shared" si="30"/>
        <v/>
      </c>
      <c r="CD42" s="532" t="str">
        <f t="shared" si="31"/>
        <v/>
      </c>
      <c r="CE42" s="532" t="str">
        <f t="shared" si="13"/>
        <v/>
      </c>
      <c r="CF42" s="533" t="str">
        <f t="shared" si="14"/>
        <v/>
      </c>
      <c r="CG42" s="534" t="str">
        <f t="shared" si="32"/>
        <v/>
      </c>
      <c r="CH42" s="424"/>
      <c r="CI42" s="531" t="str">
        <f t="shared" si="33"/>
        <v/>
      </c>
      <c r="CJ42" s="534" t="str">
        <f t="shared" si="34"/>
        <v/>
      </c>
      <c r="CK42" s="424"/>
      <c r="CL42" s="531" t="str">
        <f t="shared" si="35"/>
        <v/>
      </c>
      <c r="CM42" s="534" t="str">
        <f t="shared" si="36"/>
        <v/>
      </c>
      <c r="CN42" s="424"/>
      <c r="CO42" s="531" t="str">
        <f t="shared" si="15"/>
        <v/>
      </c>
      <c r="CP42" s="532" t="str">
        <f t="shared" si="16"/>
        <v/>
      </c>
      <c r="CQ42" s="534" t="str">
        <f t="shared" si="17"/>
        <v/>
      </c>
      <c r="CR42" s="424"/>
      <c r="CS42" s="531" t="str">
        <f t="shared" si="18"/>
        <v/>
      </c>
      <c r="CT42" s="532" t="str">
        <f t="shared" si="19"/>
        <v/>
      </c>
      <c r="CU42" s="534" t="str">
        <f t="shared" si="20"/>
        <v/>
      </c>
      <c r="CW42" s="535" t="str">
        <f t="shared" si="37"/>
        <v/>
      </c>
      <c r="CX42" s="536">
        <f t="shared" si="38"/>
        <v>0</v>
      </c>
    </row>
    <row r="43" spans="2:102" s="410" customFormat="1" x14ac:dyDescent="0.2">
      <c r="B43" s="169">
        <v>17</v>
      </c>
      <c r="C43" s="517"/>
      <c r="D43" s="518"/>
      <c r="E43" s="519"/>
      <c r="F43" s="518"/>
      <c r="G43" s="518"/>
      <c r="H43" s="518"/>
      <c r="I43" s="518"/>
      <c r="J43" s="519"/>
      <c r="K43" s="520"/>
      <c r="L43" s="520"/>
      <c r="M43" s="520"/>
      <c r="N43" s="521" t="str">
        <f t="shared" si="21"/>
        <v/>
      </c>
      <c r="O43" s="522"/>
      <c r="P43" s="522"/>
      <c r="Q43" s="520"/>
      <c r="R43" s="522"/>
      <c r="S43" s="522"/>
      <c r="T43" s="523"/>
      <c r="U43" s="522"/>
      <c r="V43" s="519"/>
      <c r="W43" s="522"/>
      <c r="X43" s="523"/>
      <c r="Y43" s="522"/>
      <c r="Z43" s="522"/>
      <c r="AA43" s="522"/>
      <c r="AB43" s="522"/>
      <c r="AC43" s="524"/>
      <c r="AD43" s="525"/>
      <c r="AE43" s="525"/>
      <c r="AF43" s="522"/>
      <c r="AG43" s="522"/>
      <c r="AH43" s="522"/>
      <c r="AI43" s="522"/>
      <c r="AJ43" s="522"/>
      <c r="AK43" s="522"/>
      <c r="AL43" s="522"/>
      <c r="AM43" s="526"/>
      <c r="AN43" s="506"/>
      <c r="AO43" s="527" t="str">
        <f t="shared" si="0"/>
        <v/>
      </c>
      <c r="AP43" s="528" t="str">
        <f t="shared" si="22"/>
        <v/>
      </c>
      <c r="AQ43" s="506"/>
      <c r="AR43" s="527" t="str">
        <f t="shared" si="1"/>
        <v/>
      </c>
      <c r="AS43" s="528" t="str">
        <f t="shared" si="23"/>
        <v/>
      </c>
      <c r="AT43" s="506"/>
      <c r="AU43" s="506"/>
      <c r="AV43" s="494"/>
      <c r="AW43" s="169">
        <v>17</v>
      </c>
      <c r="AX43" s="529"/>
      <c r="AY43" s="522"/>
      <c r="AZ43" s="524"/>
      <c r="BA43" s="524"/>
      <c r="BB43" s="524"/>
      <c r="BC43" s="524"/>
      <c r="BD43" s="524"/>
      <c r="BE43" s="524"/>
      <c r="BF43" s="524"/>
      <c r="BG43" s="530"/>
      <c r="BH43" s="424"/>
      <c r="BI43" s="424"/>
      <c r="BJ43" s="531" t="str">
        <f t="shared" si="2"/>
        <v/>
      </c>
      <c r="BK43" s="532" t="str">
        <f t="shared" si="3"/>
        <v/>
      </c>
      <c r="BL43" s="532" t="str">
        <f t="shared" si="24"/>
        <v/>
      </c>
      <c r="BM43" s="532" t="str">
        <f t="shared" si="25"/>
        <v/>
      </c>
      <c r="BN43" s="532" t="str">
        <f t="shared" si="26"/>
        <v/>
      </c>
      <c r="BO43" s="532" t="str">
        <f t="shared" si="4"/>
        <v/>
      </c>
      <c r="BP43" s="532" t="str">
        <f t="shared" si="5"/>
        <v/>
      </c>
      <c r="BQ43" s="532" t="str">
        <f t="shared" si="6"/>
        <v/>
      </c>
      <c r="BR43" s="532" t="str">
        <f t="shared" si="7"/>
        <v/>
      </c>
      <c r="BS43" s="532" t="str">
        <f t="shared" si="8"/>
        <v/>
      </c>
      <c r="BT43" s="532" t="str">
        <f t="shared" si="27"/>
        <v/>
      </c>
      <c r="BU43" s="532" t="str">
        <f t="shared" si="28"/>
        <v/>
      </c>
      <c r="BV43" s="532" t="str">
        <f t="shared" si="9"/>
        <v/>
      </c>
      <c r="BW43" s="532" t="str">
        <f t="shared" si="10"/>
        <v/>
      </c>
      <c r="BX43" s="532" t="str">
        <f t="shared" si="11"/>
        <v/>
      </c>
      <c r="BY43" s="532" t="str">
        <f t="shared" si="11"/>
        <v/>
      </c>
      <c r="BZ43" s="532" t="str">
        <f t="shared" si="11"/>
        <v/>
      </c>
      <c r="CA43" s="532" t="str">
        <f t="shared" si="29"/>
        <v/>
      </c>
      <c r="CB43" s="532" t="str">
        <f t="shared" si="12"/>
        <v/>
      </c>
      <c r="CC43" s="532" t="str">
        <f t="shared" si="30"/>
        <v/>
      </c>
      <c r="CD43" s="532" t="str">
        <f t="shared" si="31"/>
        <v/>
      </c>
      <c r="CE43" s="532" t="str">
        <f t="shared" si="13"/>
        <v/>
      </c>
      <c r="CF43" s="533" t="str">
        <f t="shared" si="14"/>
        <v/>
      </c>
      <c r="CG43" s="534" t="str">
        <f t="shared" si="32"/>
        <v/>
      </c>
      <c r="CH43" s="424"/>
      <c r="CI43" s="531" t="str">
        <f t="shared" si="33"/>
        <v/>
      </c>
      <c r="CJ43" s="534" t="str">
        <f t="shared" si="34"/>
        <v/>
      </c>
      <c r="CK43" s="424"/>
      <c r="CL43" s="531" t="str">
        <f t="shared" si="35"/>
        <v/>
      </c>
      <c r="CM43" s="534" t="str">
        <f t="shared" si="36"/>
        <v/>
      </c>
      <c r="CN43" s="424"/>
      <c r="CO43" s="531" t="str">
        <f t="shared" si="15"/>
        <v/>
      </c>
      <c r="CP43" s="532" t="str">
        <f t="shared" si="16"/>
        <v/>
      </c>
      <c r="CQ43" s="534" t="str">
        <f t="shared" si="17"/>
        <v/>
      </c>
      <c r="CR43" s="424"/>
      <c r="CS43" s="531" t="str">
        <f t="shared" si="18"/>
        <v/>
      </c>
      <c r="CT43" s="532" t="str">
        <f t="shared" si="19"/>
        <v/>
      </c>
      <c r="CU43" s="534" t="str">
        <f t="shared" si="20"/>
        <v/>
      </c>
      <c r="CW43" s="535" t="str">
        <f t="shared" si="37"/>
        <v/>
      </c>
      <c r="CX43" s="536">
        <f t="shared" si="38"/>
        <v>0</v>
      </c>
    </row>
    <row r="44" spans="2:102" s="410" customFormat="1" x14ac:dyDescent="0.2">
      <c r="B44" s="169">
        <v>18</v>
      </c>
      <c r="C44" s="517"/>
      <c r="D44" s="518"/>
      <c r="E44" s="519"/>
      <c r="F44" s="518"/>
      <c r="G44" s="518"/>
      <c r="H44" s="518"/>
      <c r="I44" s="518"/>
      <c r="J44" s="519"/>
      <c r="K44" s="520"/>
      <c r="L44" s="520"/>
      <c r="M44" s="520"/>
      <c r="N44" s="521" t="str">
        <f t="shared" si="21"/>
        <v/>
      </c>
      <c r="O44" s="522"/>
      <c r="P44" s="522"/>
      <c r="Q44" s="520"/>
      <c r="R44" s="522"/>
      <c r="S44" s="522"/>
      <c r="T44" s="523"/>
      <c r="U44" s="522"/>
      <c r="V44" s="519"/>
      <c r="W44" s="522"/>
      <c r="X44" s="523"/>
      <c r="Y44" s="522"/>
      <c r="Z44" s="522"/>
      <c r="AA44" s="522"/>
      <c r="AB44" s="522"/>
      <c r="AC44" s="524"/>
      <c r="AD44" s="525"/>
      <c r="AE44" s="525"/>
      <c r="AF44" s="522"/>
      <c r="AG44" s="522"/>
      <c r="AH44" s="522"/>
      <c r="AI44" s="522"/>
      <c r="AJ44" s="522"/>
      <c r="AK44" s="522"/>
      <c r="AL44" s="522"/>
      <c r="AM44" s="526"/>
      <c r="AN44" s="506"/>
      <c r="AO44" s="527" t="str">
        <f t="shared" si="0"/>
        <v/>
      </c>
      <c r="AP44" s="528" t="str">
        <f t="shared" si="22"/>
        <v/>
      </c>
      <c r="AQ44" s="506"/>
      <c r="AR44" s="527" t="str">
        <f t="shared" si="1"/>
        <v/>
      </c>
      <c r="AS44" s="528" t="str">
        <f t="shared" si="23"/>
        <v/>
      </c>
      <c r="AT44" s="506"/>
      <c r="AU44" s="506"/>
      <c r="AV44" s="494"/>
      <c r="AW44" s="169">
        <v>18</v>
      </c>
      <c r="AX44" s="529"/>
      <c r="AY44" s="522"/>
      <c r="AZ44" s="524"/>
      <c r="BA44" s="524"/>
      <c r="BB44" s="524"/>
      <c r="BC44" s="524"/>
      <c r="BD44" s="524"/>
      <c r="BE44" s="524"/>
      <c r="BF44" s="524"/>
      <c r="BG44" s="530"/>
      <c r="BH44" s="424"/>
      <c r="BI44" s="424"/>
      <c r="BJ44" s="531" t="str">
        <f t="shared" si="2"/>
        <v/>
      </c>
      <c r="BK44" s="532" t="str">
        <f t="shared" si="3"/>
        <v/>
      </c>
      <c r="BL44" s="532" t="str">
        <f t="shared" si="24"/>
        <v/>
      </c>
      <c r="BM44" s="532" t="str">
        <f t="shared" si="25"/>
        <v/>
      </c>
      <c r="BN44" s="532" t="str">
        <f t="shared" si="26"/>
        <v/>
      </c>
      <c r="BO44" s="532" t="str">
        <f t="shared" si="4"/>
        <v/>
      </c>
      <c r="BP44" s="532" t="str">
        <f t="shared" si="5"/>
        <v/>
      </c>
      <c r="BQ44" s="532" t="str">
        <f t="shared" si="6"/>
        <v/>
      </c>
      <c r="BR44" s="532" t="str">
        <f t="shared" si="7"/>
        <v/>
      </c>
      <c r="BS44" s="532" t="str">
        <f t="shared" si="8"/>
        <v/>
      </c>
      <c r="BT44" s="532" t="str">
        <f t="shared" si="27"/>
        <v/>
      </c>
      <c r="BU44" s="532" t="str">
        <f t="shared" si="28"/>
        <v/>
      </c>
      <c r="BV44" s="532" t="str">
        <f t="shared" si="9"/>
        <v/>
      </c>
      <c r="BW44" s="532" t="str">
        <f t="shared" si="10"/>
        <v/>
      </c>
      <c r="BX44" s="532" t="str">
        <f t="shared" si="11"/>
        <v/>
      </c>
      <c r="BY44" s="532" t="str">
        <f t="shared" si="11"/>
        <v/>
      </c>
      <c r="BZ44" s="532" t="str">
        <f t="shared" si="11"/>
        <v/>
      </c>
      <c r="CA44" s="532" t="str">
        <f t="shared" si="29"/>
        <v/>
      </c>
      <c r="CB44" s="532" t="str">
        <f t="shared" si="12"/>
        <v/>
      </c>
      <c r="CC44" s="532" t="str">
        <f t="shared" si="30"/>
        <v/>
      </c>
      <c r="CD44" s="532" t="str">
        <f t="shared" si="31"/>
        <v/>
      </c>
      <c r="CE44" s="532" t="str">
        <f t="shared" si="13"/>
        <v/>
      </c>
      <c r="CF44" s="533" t="str">
        <f t="shared" si="14"/>
        <v/>
      </c>
      <c r="CG44" s="534" t="str">
        <f t="shared" si="32"/>
        <v/>
      </c>
      <c r="CH44" s="424"/>
      <c r="CI44" s="531" t="str">
        <f t="shared" si="33"/>
        <v/>
      </c>
      <c r="CJ44" s="534" t="str">
        <f t="shared" si="34"/>
        <v/>
      </c>
      <c r="CK44" s="424"/>
      <c r="CL44" s="531" t="str">
        <f t="shared" si="35"/>
        <v/>
      </c>
      <c r="CM44" s="534" t="str">
        <f t="shared" si="36"/>
        <v/>
      </c>
      <c r="CN44" s="424"/>
      <c r="CO44" s="531" t="str">
        <f t="shared" si="15"/>
        <v/>
      </c>
      <c r="CP44" s="532" t="str">
        <f t="shared" si="16"/>
        <v/>
      </c>
      <c r="CQ44" s="534" t="str">
        <f t="shared" si="17"/>
        <v/>
      </c>
      <c r="CR44" s="424"/>
      <c r="CS44" s="531" t="str">
        <f t="shared" si="18"/>
        <v/>
      </c>
      <c r="CT44" s="532" t="str">
        <f t="shared" si="19"/>
        <v/>
      </c>
      <c r="CU44" s="534" t="str">
        <f t="shared" si="20"/>
        <v/>
      </c>
      <c r="CW44" s="535" t="str">
        <f t="shared" si="37"/>
        <v/>
      </c>
      <c r="CX44" s="536">
        <f t="shared" si="38"/>
        <v>0</v>
      </c>
    </row>
    <row r="45" spans="2:102" s="410" customFormat="1" x14ac:dyDescent="0.2">
      <c r="B45" s="169">
        <v>19</v>
      </c>
      <c r="C45" s="517"/>
      <c r="D45" s="518"/>
      <c r="E45" s="519"/>
      <c r="F45" s="518"/>
      <c r="G45" s="518"/>
      <c r="H45" s="518"/>
      <c r="I45" s="518"/>
      <c r="J45" s="519"/>
      <c r="K45" s="520"/>
      <c r="L45" s="520"/>
      <c r="M45" s="520"/>
      <c r="N45" s="521" t="str">
        <f t="shared" si="21"/>
        <v/>
      </c>
      <c r="O45" s="522"/>
      <c r="P45" s="522"/>
      <c r="Q45" s="520"/>
      <c r="R45" s="522"/>
      <c r="S45" s="522"/>
      <c r="T45" s="523"/>
      <c r="U45" s="522"/>
      <c r="V45" s="519"/>
      <c r="W45" s="522"/>
      <c r="X45" s="523"/>
      <c r="Y45" s="522"/>
      <c r="Z45" s="522"/>
      <c r="AA45" s="522"/>
      <c r="AB45" s="522"/>
      <c r="AC45" s="524"/>
      <c r="AD45" s="525"/>
      <c r="AE45" s="525"/>
      <c r="AF45" s="522"/>
      <c r="AG45" s="522"/>
      <c r="AH45" s="522"/>
      <c r="AI45" s="522"/>
      <c r="AJ45" s="522"/>
      <c r="AK45" s="522"/>
      <c r="AL45" s="522"/>
      <c r="AM45" s="526"/>
      <c r="AN45" s="506"/>
      <c r="AO45" s="527" t="str">
        <f t="shared" si="0"/>
        <v/>
      </c>
      <c r="AP45" s="528" t="str">
        <f t="shared" si="22"/>
        <v/>
      </c>
      <c r="AQ45" s="506"/>
      <c r="AR45" s="527" t="str">
        <f t="shared" si="1"/>
        <v/>
      </c>
      <c r="AS45" s="528" t="str">
        <f t="shared" si="23"/>
        <v/>
      </c>
      <c r="AT45" s="506"/>
      <c r="AU45" s="506"/>
      <c r="AV45" s="494"/>
      <c r="AW45" s="169">
        <v>19</v>
      </c>
      <c r="AX45" s="529"/>
      <c r="AY45" s="522"/>
      <c r="AZ45" s="524"/>
      <c r="BA45" s="524"/>
      <c r="BB45" s="524"/>
      <c r="BC45" s="524"/>
      <c r="BD45" s="524"/>
      <c r="BE45" s="524"/>
      <c r="BF45" s="524"/>
      <c r="BG45" s="530"/>
      <c r="BH45" s="424"/>
      <c r="BI45" s="424"/>
      <c r="BJ45" s="531" t="str">
        <f t="shared" si="2"/>
        <v/>
      </c>
      <c r="BK45" s="532" t="str">
        <f t="shared" si="3"/>
        <v/>
      </c>
      <c r="BL45" s="532" t="str">
        <f t="shared" si="24"/>
        <v/>
      </c>
      <c r="BM45" s="532" t="str">
        <f t="shared" si="25"/>
        <v/>
      </c>
      <c r="BN45" s="532" t="str">
        <f t="shared" si="26"/>
        <v/>
      </c>
      <c r="BO45" s="532" t="str">
        <f t="shared" si="4"/>
        <v/>
      </c>
      <c r="BP45" s="532" t="str">
        <f t="shared" si="5"/>
        <v/>
      </c>
      <c r="BQ45" s="532" t="str">
        <f t="shared" si="6"/>
        <v/>
      </c>
      <c r="BR45" s="532" t="str">
        <f t="shared" si="7"/>
        <v/>
      </c>
      <c r="BS45" s="532" t="str">
        <f t="shared" si="8"/>
        <v/>
      </c>
      <c r="BT45" s="532" t="str">
        <f t="shared" si="27"/>
        <v/>
      </c>
      <c r="BU45" s="532" t="str">
        <f t="shared" si="28"/>
        <v/>
      </c>
      <c r="BV45" s="532" t="str">
        <f t="shared" si="9"/>
        <v/>
      </c>
      <c r="BW45" s="532" t="str">
        <f t="shared" si="10"/>
        <v/>
      </c>
      <c r="BX45" s="532" t="str">
        <f t="shared" si="11"/>
        <v/>
      </c>
      <c r="BY45" s="532" t="str">
        <f t="shared" si="11"/>
        <v/>
      </c>
      <c r="BZ45" s="532" t="str">
        <f t="shared" si="11"/>
        <v/>
      </c>
      <c r="CA45" s="532" t="str">
        <f t="shared" si="29"/>
        <v/>
      </c>
      <c r="CB45" s="532" t="str">
        <f t="shared" si="12"/>
        <v/>
      </c>
      <c r="CC45" s="532" t="str">
        <f t="shared" si="30"/>
        <v/>
      </c>
      <c r="CD45" s="532" t="str">
        <f t="shared" si="31"/>
        <v/>
      </c>
      <c r="CE45" s="532" t="str">
        <f t="shared" si="13"/>
        <v/>
      </c>
      <c r="CF45" s="533" t="str">
        <f t="shared" si="14"/>
        <v/>
      </c>
      <c r="CG45" s="534" t="str">
        <f t="shared" si="32"/>
        <v/>
      </c>
      <c r="CH45" s="424"/>
      <c r="CI45" s="531" t="str">
        <f t="shared" si="33"/>
        <v/>
      </c>
      <c r="CJ45" s="534" t="str">
        <f t="shared" si="34"/>
        <v/>
      </c>
      <c r="CK45" s="424"/>
      <c r="CL45" s="531" t="str">
        <f t="shared" si="35"/>
        <v/>
      </c>
      <c r="CM45" s="534" t="str">
        <f t="shared" si="36"/>
        <v/>
      </c>
      <c r="CN45" s="424"/>
      <c r="CO45" s="531" t="str">
        <f t="shared" si="15"/>
        <v/>
      </c>
      <c r="CP45" s="532" t="str">
        <f t="shared" si="16"/>
        <v/>
      </c>
      <c r="CQ45" s="534" t="str">
        <f t="shared" si="17"/>
        <v/>
      </c>
      <c r="CR45" s="424"/>
      <c r="CS45" s="531" t="str">
        <f t="shared" si="18"/>
        <v/>
      </c>
      <c r="CT45" s="532" t="str">
        <f t="shared" si="19"/>
        <v/>
      </c>
      <c r="CU45" s="534" t="str">
        <f t="shared" si="20"/>
        <v/>
      </c>
      <c r="CW45" s="535" t="str">
        <f t="shared" si="37"/>
        <v/>
      </c>
      <c r="CX45" s="536">
        <f t="shared" si="38"/>
        <v>0</v>
      </c>
    </row>
    <row r="46" spans="2:102" s="410" customFormat="1" x14ac:dyDescent="0.2">
      <c r="B46" s="169">
        <v>20</v>
      </c>
      <c r="C46" s="517"/>
      <c r="D46" s="518"/>
      <c r="E46" s="519"/>
      <c r="F46" s="518"/>
      <c r="G46" s="518"/>
      <c r="H46" s="518"/>
      <c r="I46" s="518"/>
      <c r="J46" s="519"/>
      <c r="K46" s="520"/>
      <c r="L46" s="520"/>
      <c r="M46" s="520"/>
      <c r="N46" s="521" t="str">
        <f t="shared" si="21"/>
        <v/>
      </c>
      <c r="O46" s="522"/>
      <c r="P46" s="522"/>
      <c r="Q46" s="520"/>
      <c r="R46" s="522"/>
      <c r="S46" s="522"/>
      <c r="T46" s="523"/>
      <c r="U46" s="522"/>
      <c r="V46" s="519"/>
      <c r="W46" s="522"/>
      <c r="X46" s="523"/>
      <c r="Y46" s="522"/>
      <c r="Z46" s="522"/>
      <c r="AA46" s="522"/>
      <c r="AB46" s="522"/>
      <c r="AC46" s="524"/>
      <c r="AD46" s="525"/>
      <c r="AE46" s="525"/>
      <c r="AF46" s="522"/>
      <c r="AG46" s="522"/>
      <c r="AH46" s="522"/>
      <c r="AI46" s="522"/>
      <c r="AJ46" s="522"/>
      <c r="AK46" s="522"/>
      <c r="AL46" s="522"/>
      <c r="AM46" s="526"/>
      <c r="AN46" s="506"/>
      <c r="AO46" s="527" t="str">
        <f t="shared" si="0"/>
        <v/>
      </c>
      <c r="AP46" s="528" t="str">
        <f t="shared" si="22"/>
        <v/>
      </c>
      <c r="AQ46" s="506"/>
      <c r="AR46" s="527" t="str">
        <f t="shared" si="1"/>
        <v/>
      </c>
      <c r="AS46" s="528" t="str">
        <f t="shared" si="23"/>
        <v/>
      </c>
      <c r="AT46" s="506"/>
      <c r="AU46" s="506"/>
      <c r="AV46" s="494"/>
      <c r="AW46" s="169">
        <v>20</v>
      </c>
      <c r="AX46" s="529"/>
      <c r="AY46" s="522"/>
      <c r="AZ46" s="524"/>
      <c r="BA46" s="524"/>
      <c r="BB46" s="524"/>
      <c r="BC46" s="524"/>
      <c r="BD46" s="524"/>
      <c r="BE46" s="524"/>
      <c r="BF46" s="524"/>
      <c r="BG46" s="530"/>
      <c r="BH46" s="424"/>
      <c r="BI46" s="424"/>
      <c r="BJ46" s="531" t="str">
        <f t="shared" si="2"/>
        <v/>
      </c>
      <c r="BK46" s="532" t="str">
        <f t="shared" si="3"/>
        <v/>
      </c>
      <c r="BL46" s="532" t="str">
        <f t="shared" si="24"/>
        <v/>
      </c>
      <c r="BM46" s="532" t="str">
        <f t="shared" si="25"/>
        <v/>
      </c>
      <c r="BN46" s="532" t="str">
        <f t="shared" si="26"/>
        <v/>
      </c>
      <c r="BO46" s="532" t="str">
        <f t="shared" si="4"/>
        <v/>
      </c>
      <c r="BP46" s="532" t="str">
        <f t="shared" si="5"/>
        <v/>
      </c>
      <c r="BQ46" s="532" t="str">
        <f t="shared" si="6"/>
        <v/>
      </c>
      <c r="BR46" s="532" t="str">
        <f t="shared" si="7"/>
        <v/>
      </c>
      <c r="BS46" s="532" t="str">
        <f t="shared" si="8"/>
        <v/>
      </c>
      <c r="BT46" s="532" t="str">
        <f t="shared" si="27"/>
        <v/>
      </c>
      <c r="BU46" s="532" t="str">
        <f t="shared" si="28"/>
        <v/>
      </c>
      <c r="BV46" s="532" t="str">
        <f t="shared" si="9"/>
        <v/>
      </c>
      <c r="BW46" s="532" t="str">
        <f t="shared" si="10"/>
        <v/>
      </c>
      <c r="BX46" s="532" t="str">
        <f t="shared" si="11"/>
        <v/>
      </c>
      <c r="BY46" s="532" t="str">
        <f t="shared" si="11"/>
        <v/>
      </c>
      <c r="BZ46" s="532" t="str">
        <f t="shared" si="11"/>
        <v/>
      </c>
      <c r="CA46" s="532" t="str">
        <f t="shared" si="29"/>
        <v/>
      </c>
      <c r="CB46" s="532" t="str">
        <f t="shared" si="12"/>
        <v/>
      </c>
      <c r="CC46" s="532" t="str">
        <f t="shared" si="30"/>
        <v/>
      </c>
      <c r="CD46" s="532" t="str">
        <f t="shared" si="31"/>
        <v/>
      </c>
      <c r="CE46" s="532" t="str">
        <f t="shared" si="13"/>
        <v/>
      </c>
      <c r="CF46" s="533" t="str">
        <f t="shared" si="14"/>
        <v/>
      </c>
      <c r="CG46" s="534" t="str">
        <f t="shared" si="32"/>
        <v/>
      </c>
      <c r="CH46" s="424"/>
      <c r="CI46" s="531" t="str">
        <f t="shared" si="33"/>
        <v/>
      </c>
      <c r="CJ46" s="534" t="str">
        <f t="shared" si="34"/>
        <v/>
      </c>
      <c r="CK46" s="424"/>
      <c r="CL46" s="531" t="str">
        <f t="shared" si="35"/>
        <v/>
      </c>
      <c r="CM46" s="534" t="str">
        <f t="shared" si="36"/>
        <v/>
      </c>
      <c r="CN46" s="424"/>
      <c r="CO46" s="531" t="str">
        <f t="shared" si="15"/>
        <v/>
      </c>
      <c r="CP46" s="532" t="str">
        <f t="shared" si="16"/>
        <v/>
      </c>
      <c r="CQ46" s="534" t="str">
        <f t="shared" si="17"/>
        <v/>
      </c>
      <c r="CR46" s="424"/>
      <c r="CS46" s="531" t="str">
        <f t="shared" si="18"/>
        <v/>
      </c>
      <c r="CT46" s="532" t="str">
        <f t="shared" si="19"/>
        <v/>
      </c>
      <c r="CU46" s="534" t="str">
        <f t="shared" si="20"/>
        <v/>
      </c>
      <c r="CW46" s="535" t="str">
        <f t="shared" si="37"/>
        <v/>
      </c>
      <c r="CX46" s="536">
        <f t="shared" si="38"/>
        <v>0</v>
      </c>
    </row>
    <row r="47" spans="2:102" s="410" customFormat="1" x14ac:dyDescent="0.2">
      <c r="B47" s="169">
        <v>21</v>
      </c>
      <c r="C47" s="517"/>
      <c r="D47" s="518"/>
      <c r="E47" s="519"/>
      <c r="F47" s="518"/>
      <c r="G47" s="518"/>
      <c r="H47" s="518"/>
      <c r="I47" s="518"/>
      <c r="J47" s="519"/>
      <c r="K47" s="520"/>
      <c r="L47" s="520"/>
      <c r="M47" s="520"/>
      <c r="N47" s="521" t="str">
        <f t="shared" si="21"/>
        <v/>
      </c>
      <c r="O47" s="522"/>
      <c r="P47" s="522"/>
      <c r="Q47" s="520"/>
      <c r="R47" s="522"/>
      <c r="S47" s="522"/>
      <c r="T47" s="523"/>
      <c r="U47" s="522"/>
      <c r="V47" s="519"/>
      <c r="W47" s="522"/>
      <c r="X47" s="523"/>
      <c r="Y47" s="522"/>
      <c r="Z47" s="522"/>
      <c r="AA47" s="522"/>
      <c r="AB47" s="522"/>
      <c r="AC47" s="524"/>
      <c r="AD47" s="525"/>
      <c r="AE47" s="525"/>
      <c r="AF47" s="522"/>
      <c r="AG47" s="522"/>
      <c r="AH47" s="522"/>
      <c r="AI47" s="522"/>
      <c r="AJ47" s="522"/>
      <c r="AK47" s="522"/>
      <c r="AL47" s="522"/>
      <c r="AM47" s="526"/>
      <c r="AN47" s="506"/>
      <c r="AO47" s="527" t="str">
        <f t="shared" si="0"/>
        <v/>
      </c>
      <c r="AP47" s="528" t="str">
        <f t="shared" si="22"/>
        <v/>
      </c>
      <c r="AQ47" s="506"/>
      <c r="AR47" s="527" t="str">
        <f t="shared" si="1"/>
        <v/>
      </c>
      <c r="AS47" s="528" t="str">
        <f t="shared" si="23"/>
        <v/>
      </c>
      <c r="AT47" s="506"/>
      <c r="AU47" s="506"/>
      <c r="AV47" s="494"/>
      <c r="AW47" s="169">
        <v>21</v>
      </c>
      <c r="AX47" s="529"/>
      <c r="AY47" s="522"/>
      <c r="AZ47" s="524"/>
      <c r="BA47" s="524"/>
      <c r="BB47" s="524"/>
      <c r="BC47" s="524"/>
      <c r="BD47" s="524"/>
      <c r="BE47" s="524"/>
      <c r="BF47" s="524"/>
      <c r="BG47" s="530"/>
      <c r="BH47" s="424"/>
      <c r="BI47" s="424"/>
      <c r="BJ47" s="531" t="str">
        <f t="shared" si="2"/>
        <v/>
      </c>
      <c r="BK47" s="532" t="str">
        <f t="shared" si="3"/>
        <v/>
      </c>
      <c r="BL47" s="532" t="str">
        <f t="shared" si="24"/>
        <v/>
      </c>
      <c r="BM47" s="532" t="str">
        <f t="shared" si="25"/>
        <v/>
      </c>
      <c r="BN47" s="532" t="str">
        <f t="shared" si="26"/>
        <v/>
      </c>
      <c r="BO47" s="532" t="str">
        <f t="shared" si="4"/>
        <v/>
      </c>
      <c r="BP47" s="532" t="str">
        <f t="shared" si="5"/>
        <v/>
      </c>
      <c r="BQ47" s="532" t="str">
        <f t="shared" si="6"/>
        <v/>
      </c>
      <c r="BR47" s="532" t="str">
        <f t="shared" si="7"/>
        <v/>
      </c>
      <c r="BS47" s="532" t="str">
        <f t="shared" si="8"/>
        <v/>
      </c>
      <c r="BT47" s="532" t="str">
        <f t="shared" si="27"/>
        <v/>
      </c>
      <c r="BU47" s="532" t="str">
        <f t="shared" si="28"/>
        <v/>
      </c>
      <c r="BV47" s="532" t="str">
        <f t="shared" si="9"/>
        <v/>
      </c>
      <c r="BW47" s="532" t="str">
        <f t="shared" si="10"/>
        <v/>
      </c>
      <c r="BX47" s="532" t="str">
        <f t="shared" si="11"/>
        <v/>
      </c>
      <c r="BY47" s="532" t="str">
        <f t="shared" si="11"/>
        <v/>
      </c>
      <c r="BZ47" s="532" t="str">
        <f t="shared" si="11"/>
        <v/>
      </c>
      <c r="CA47" s="532" t="str">
        <f t="shared" si="29"/>
        <v/>
      </c>
      <c r="CB47" s="532" t="str">
        <f t="shared" si="12"/>
        <v/>
      </c>
      <c r="CC47" s="532" t="str">
        <f t="shared" si="30"/>
        <v/>
      </c>
      <c r="CD47" s="532" t="str">
        <f t="shared" si="31"/>
        <v/>
      </c>
      <c r="CE47" s="532" t="str">
        <f t="shared" si="13"/>
        <v/>
      </c>
      <c r="CF47" s="533" t="str">
        <f t="shared" si="14"/>
        <v/>
      </c>
      <c r="CG47" s="534" t="str">
        <f t="shared" si="32"/>
        <v/>
      </c>
      <c r="CH47" s="424"/>
      <c r="CI47" s="531" t="str">
        <f t="shared" si="33"/>
        <v/>
      </c>
      <c r="CJ47" s="534" t="str">
        <f t="shared" si="34"/>
        <v/>
      </c>
      <c r="CK47" s="424"/>
      <c r="CL47" s="531" t="str">
        <f t="shared" si="35"/>
        <v/>
      </c>
      <c r="CM47" s="534" t="str">
        <f t="shared" si="36"/>
        <v/>
      </c>
      <c r="CN47" s="424"/>
      <c r="CO47" s="531" t="str">
        <f t="shared" si="15"/>
        <v/>
      </c>
      <c r="CP47" s="532" t="str">
        <f t="shared" si="16"/>
        <v/>
      </c>
      <c r="CQ47" s="534" t="str">
        <f t="shared" si="17"/>
        <v/>
      </c>
      <c r="CR47" s="424"/>
      <c r="CS47" s="531" t="str">
        <f t="shared" si="18"/>
        <v/>
      </c>
      <c r="CT47" s="532" t="str">
        <f t="shared" si="19"/>
        <v/>
      </c>
      <c r="CU47" s="534" t="str">
        <f t="shared" si="20"/>
        <v/>
      </c>
      <c r="CW47" s="535" t="str">
        <f t="shared" si="37"/>
        <v/>
      </c>
      <c r="CX47" s="536">
        <f t="shared" si="38"/>
        <v>0</v>
      </c>
    </row>
    <row r="48" spans="2:102" s="410" customFormat="1" x14ac:dyDescent="0.2">
      <c r="B48" s="169">
        <v>22</v>
      </c>
      <c r="C48" s="517"/>
      <c r="D48" s="518"/>
      <c r="E48" s="519"/>
      <c r="F48" s="518"/>
      <c r="G48" s="518"/>
      <c r="H48" s="518"/>
      <c r="I48" s="518"/>
      <c r="J48" s="519"/>
      <c r="K48" s="520"/>
      <c r="L48" s="520"/>
      <c r="M48" s="520"/>
      <c r="N48" s="521" t="str">
        <f t="shared" si="21"/>
        <v/>
      </c>
      <c r="O48" s="522"/>
      <c r="P48" s="522"/>
      <c r="Q48" s="520"/>
      <c r="R48" s="522"/>
      <c r="S48" s="522"/>
      <c r="T48" s="523"/>
      <c r="U48" s="522"/>
      <c r="V48" s="519"/>
      <c r="W48" s="522"/>
      <c r="X48" s="523"/>
      <c r="Y48" s="522"/>
      <c r="Z48" s="522"/>
      <c r="AA48" s="522"/>
      <c r="AB48" s="522"/>
      <c r="AC48" s="524"/>
      <c r="AD48" s="525"/>
      <c r="AE48" s="525"/>
      <c r="AF48" s="522"/>
      <c r="AG48" s="522"/>
      <c r="AH48" s="522"/>
      <c r="AI48" s="522"/>
      <c r="AJ48" s="522"/>
      <c r="AK48" s="522"/>
      <c r="AL48" s="522"/>
      <c r="AM48" s="526"/>
      <c r="AN48" s="506"/>
      <c r="AO48" s="527" t="str">
        <f t="shared" si="0"/>
        <v/>
      </c>
      <c r="AP48" s="528" t="str">
        <f t="shared" si="22"/>
        <v/>
      </c>
      <c r="AQ48" s="506"/>
      <c r="AR48" s="527" t="str">
        <f t="shared" si="1"/>
        <v/>
      </c>
      <c r="AS48" s="528" t="str">
        <f t="shared" si="23"/>
        <v/>
      </c>
      <c r="AT48" s="506"/>
      <c r="AU48" s="506"/>
      <c r="AV48" s="494"/>
      <c r="AW48" s="169">
        <v>22</v>
      </c>
      <c r="AX48" s="529"/>
      <c r="AY48" s="522"/>
      <c r="AZ48" s="524"/>
      <c r="BA48" s="524"/>
      <c r="BB48" s="524"/>
      <c r="BC48" s="524"/>
      <c r="BD48" s="524"/>
      <c r="BE48" s="524"/>
      <c r="BF48" s="524"/>
      <c r="BG48" s="530"/>
      <c r="BH48" s="424"/>
      <c r="BI48" s="424"/>
      <c r="BJ48" s="531" t="str">
        <f t="shared" si="2"/>
        <v/>
      </c>
      <c r="BK48" s="532" t="str">
        <f t="shared" si="3"/>
        <v/>
      </c>
      <c r="BL48" s="532" t="str">
        <f t="shared" si="24"/>
        <v/>
      </c>
      <c r="BM48" s="532" t="str">
        <f t="shared" si="25"/>
        <v/>
      </c>
      <c r="BN48" s="532" t="str">
        <f t="shared" si="26"/>
        <v/>
      </c>
      <c r="BO48" s="532" t="str">
        <f t="shared" si="4"/>
        <v/>
      </c>
      <c r="BP48" s="532" t="str">
        <f t="shared" si="5"/>
        <v/>
      </c>
      <c r="BQ48" s="532" t="str">
        <f t="shared" si="6"/>
        <v/>
      </c>
      <c r="BR48" s="532" t="str">
        <f t="shared" si="7"/>
        <v/>
      </c>
      <c r="BS48" s="532" t="str">
        <f t="shared" si="8"/>
        <v/>
      </c>
      <c r="BT48" s="532" t="str">
        <f t="shared" si="27"/>
        <v/>
      </c>
      <c r="BU48" s="532" t="str">
        <f t="shared" si="28"/>
        <v/>
      </c>
      <c r="BV48" s="532" t="str">
        <f t="shared" si="9"/>
        <v/>
      </c>
      <c r="BW48" s="532" t="str">
        <f t="shared" si="10"/>
        <v/>
      </c>
      <c r="BX48" s="532" t="str">
        <f t="shared" si="11"/>
        <v/>
      </c>
      <c r="BY48" s="532" t="str">
        <f t="shared" si="11"/>
        <v/>
      </c>
      <c r="BZ48" s="532" t="str">
        <f t="shared" si="11"/>
        <v/>
      </c>
      <c r="CA48" s="532" t="str">
        <f t="shared" si="29"/>
        <v/>
      </c>
      <c r="CB48" s="532" t="str">
        <f t="shared" si="12"/>
        <v/>
      </c>
      <c r="CC48" s="532" t="str">
        <f t="shared" si="30"/>
        <v/>
      </c>
      <c r="CD48" s="532" t="str">
        <f t="shared" si="31"/>
        <v/>
      </c>
      <c r="CE48" s="532" t="str">
        <f t="shared" si="13"/>
        <v/>
      </c>
      <c r="CF48" s="533" t="str">
        <f t="shared" si="14"/>
        <v/>
      </c>
      <c r="CG48" s="534" t="str">
        <f t="shared" si="32"/>
        <v/>
      </c>
      <c r="CH48" s="424"/>
      <c r="CI48" s="531" t="str">
        <f t="shared" si="33"/>
        <v/>
      </c>
      <c r="CJ48" s="534" t="str">
        <f t="shared" si="34"/>
        <v/>
      </c>
      <c r="CK48" s="424"/>
      <c r="CL48" s="531" t="str">
        <f t="shared" si="35"/>
        <v/>
      </c>
      <c r="CM48" s="534" t="str">
        <f t="shared" si="36"/>
        <v/>
      </c>
      <c r="CN48" s="424"/>
      <c r="CO48" s="531" t="str">
        <f t="shared" si="15"/>
        <v/>
      </c>
      <c r="CP48" s="532" t="str">
        <f t="shared" si="16"/>
        <v/>
      </c>
      <c r="CQ48" s="534" t="str">
        <f t="shared" si="17"/>
        <v/>
      </c>
      <c r="CR48" s="424"/>
      <c r="CS48" s="531" t="str">
        <f t="shared" si="18"/>
        <v/>
      </c>
      <c r="CT48" s="532" t="str">
        <f t="shared" si="19"/>
        <v/>
      </c>
      <c r="CU48" s="534" t="str">
        <f t="shared" si="20"/>
        <v/>
      </c>
      <c r="CW48" s="535" t="str">
        <f t="shared" si="37"/>
        <v/>
      </c>
      <c r="CX48" s="536">
        <f t="shared" si="38"/>
        <v>0</v>
      </c>
    </row>
    <row r="49" spans="2:102" s="410" customFormat="1" x14ac:dyDescent="0.2">
      <c r="B49" s="169">
        <v>23</v>
      </c>
      <c r="C49" s="517"/>
      <c r="D49" s="518"/>
      <c r="E49" s="519"/>
      <c r="F49" s="518"/>
      <c r="G49" s="518"/>
      <c r="H49" s="518"/>
      <c r="I49" s="518"/>
      <c r="J49" s="519"/>
      <c r="K49" s="520"/>
      <c r="L49" s="520"/>
      <c r="M49" s="520"/>
      <c r="N49" s="521" t="str">
        <f t="shared" si="21"/>
        <v/>
      </c>
      <c r="O49" s="522"/>
      <c r="P49" s="522"/>
      <c r="Q49" s="520"/>
      <c r="R49" s="522"/>
      <c r="S49" s="522"/>
      <c r="T49" s="523"/>
      <c r="U49" s="522"/>
      <c r="V49" s="519"/>
      <c r="W49" s="522"/>
      <c r="X49" s="523"/>
      <c r="Y49" s="522"/>
      <c r="Z49" s="522"/>
      <c r="AA49" s="522"/>
      <c r="AB49" s="522"/>
      <c r="AC49" s="524"/>
      <c r="AD49" s="525"/>
      <c r="AE49" s="525"/>
      <c r="AF49" s="522"/>
      <c r="AG49" s="522"/>
      <c r="AH49" s="522"/>
      <c r="AI49" s="522"/>
      <c r="AJ49" s="522"/>
      <c r="AK49" s="522"/>
      <c r="AL49" s="522"/>
      <c r="AM49" s="526"/>
      <c r="AN49" s="506"/>
      <c r="AO49" s="527" t="str">
        <f t="shared" si="0"/>
        <v/>
      </c>
      <c r="AP49" s="528" t="str">
        <f t="shared" si="22"/>
        <v/>
      </c>
      <c r="AQ49" s="506"/>
      <c r="AR49" s="527" t="str">
        <f t="shared" si="1"/>
        <v/>
      </c>
      <c r="AS49" s="528" t="str">
        <f t="shared" si="23"/>
        <v/>
      </c>
      <c r="AT49" s="506"/>
      <c r="AU49" s="506"/>
      <c r="AV49" s="494"/>
      <c r="AW49" s="169">
        <v>23</v>
      </c>
      <c r="AX49" s="529"/>
      <c r="AY49" s="522"/>
      <c r="AZ49" s="524"/>
      <c r="BA49" s="524"/>
      <c r="BB49" s="524"/>
      <c r="BC49" s="524"/>
      <c r="BD49" s="524"/>
      <c r="BE49" s="524"/>
      <c r="BF49" s="524"/>
      <c r="BG49" s="530"/>
      <c r="BH49" s="424"/>
      <c r="BI49" s="424"/>
      <c r="BJ49" s="531" t="str">
        <f t="shared" si="2"/>
        <v/>
      </c>
      <c r="BK49" s="532" t="str">
        <f t="shared" si="3"/>
        <v/>
      </c>
      <c r="BL49" s="532" t="str">
        <f t="shared" si="24"/>
        <v/>
      </c>
      <c r="BM49" s="532" t="str">
        <f t="shared" si="25"/>
        <v/>
      </c>
      <c r="BN49" s="532" t="str">
        <f t="shared" si="26"/>
        <v/>
      </c>
      <c r="BO49" s="532" t="str">
        <f t="shared" si="4"/>
        <v/>
      </c>
      <c r="BP49" s="532" t="str">
        <f t="shared" si="5"/>
        <v/>
      </c>
      <c r="BQ49" s="532" t="str">
        <f t="shared" si="6"/>
        <v/>
      </c>
      <c r="BR49" s="532" t="str">
        <f t="shared" si="7"/>
        <v/>
      </c>
      <c r="BS49" s="532" t="str">
        <f t="shared" si="8"/>
        <v/>
      </c>
      <c r="BT49" s="532" t="str">
        <f t="shared" si="27"/>
        <v/>
      </c>
      <c r="BU49" s="532" t="str">
        <f t="shared" si="28"/>
        <v/>
      </c>
      <c r="BV49" s="532" t="str">
        <f t="shared" si="9"/>
        <v/>
      </c>
      <c r="BW49" s="532" t="str">
        <f t="shared" si="10"/>
        <v/>
      </c>
      <c r="BX49" s="532" t="str">
        <f t="shared" si="11"/>
        <v/>
      </c>
      <c r="BY49" s="532" t="str">
        <f t="shared" si="11"/>
        <v/>
      </c>
      <c r="BZ49" s="532" t="str">
        <f t="shared" si="11"/>
        <v/>
      </c>
      <c r="CA49" s="532" t="str">
        <f t="shared" si="29"/>
        <v/>
      </c>
      <c r="CB49" s="532" t="str">
        <f t="shared" si="12"/>
        <v/>
      </c>
      <c r="CC49" s="532" t="str">
        <f t="shared" si="30"/>
        <v/>
      </c>
      <c r="CD49" s="532" t="str">
        <f t="shared" si="31"/>
        <v/>
      </c>
      <c r="CE49" s="532" t="str">
        <f t="shared" si="13"/>
        <v/>
      </c>
      <c r="CF49" s="533" t="str">
        <f t="shared" si="14"/>
        <v/>
      </c>
      <c r="CG49" s="534" t="str">
        <f t="shared" si="32"/>
        <v/>
      </c>
      <c r="CH49" s="424"/>
      <c r="CI49" s="531" t="str">
        <f t="shared" si="33"/>
        <v/>
      </c>
      <c r="CJ49" s="534" t="str">
        <f t="shared" si="34"/>
        <v/>
      </c>
      <c r="CK49" s="424"/>
      <c r="CL49" s="531" t="str">
        <f t="shared" si="35"/>
        <v/>
      </c>
      <c r="CM49" s="534" t="str">
        <f t="shared" si="36"/>
        <v/>
      </c>
      <c r="CN49" s="424"/>
      <c r="CO49" s="531" t="str">
        <f t="shared" si="15"/>
        <v/>
      </c>
      <c r="CP49" s="532" t="str">
        <f t="shared" si="16"/>
        <v/>
      </c>
      <c r="CQ49" s="534" t="str">
        <f t="shared" si="17"/>
        <v/>
      </c>
      <c r="CR49" s="424"/>
      <c r="CS49" s="531" t="str">
        <f t="shared" si="18"/>
        <v/>
      </c>
      <c r="CT49" s="532" t="str">
        <f t="shared" si="19"/>
        <v/>
      </c>
      <c r="CU49" s="534" t="str">
        <f t="shared" si="20"/>
        <v/>
      </c>
      <c r="CW49" s="535" t="str">
        <f t="shared" si="37"/>
        <v/>
      </c>
      <c r="CX49" s="536">
        <f t="shared" si="38"/>
        <v>0</v>
      </c>
    </row>
    <row r="50" spans="2:102" s="410" customFormat="1" x14ac:dyDescent="0.2">
      <c r="B50" s="169">
        <v>24</v>
      </c>
      <c r="C50" s="517"/>
      <c r="D50" s="518"/>
      <c r="E50" s="519"/>
      <c r="F50" s="518"/>
      <c r="G50" s="518"/>
      <c r="H50" s="518"/>
      <c r="I50" s="518"/>
      <c r="J50" s="519"/>
      <c r="K50" s="520"/>
      <c r="L50" s="520"/>
      <c r="M50" s="520"/>
      <c r="N50" s="521" t="str">
        <f t="shared" si="21"/>
        <v/>
      </c>
      <c r="O50" s="522"/>
      <c r="P50" s="522"/>
      <c r="Q50" s="520"/>
      <c r="R50" s="522"/>
      <c r="S50" s="522"/>
      <c r="T50" s="523"/>
      <c r="U50" s="522"/>
      <c r="V50" s="519"/>
      <c r="W50" s="522"/>
      <c r="X50" s="523"/>
      <c r="Y50" s="522"/>
      <c r="Z50" s="522"/>
      <c r="AA50" s="522"/>
      <c r="AB50" s="522"/>
      <c r="AC50" s="524"/>
      <c r="AD50" s="525"/>
      <c r="AE50" s="525"/>
      <c r="AF50" s="522"/>
      <c r="AG50" s="522"/>
      <c r="AH50" s="522"/>
      <c r="AI50" s="522"/>
      <c r="AJ50" s="522"/>
      <c r="AK50" s="522"/>
      <c r="AL50" s="522"/>
      <c r="AM50" s="526"/>
      <c r="AN50" s="506"/>
      <c r="AO50" s="527" t="str">
        <f t="shared" si="0"/>
        <v/>
      </c>
      <c r="AP50" s="528" t="str">
        <f t="shared" si="22"/>
        <v/>
      </c>
      <c r="AQ50" s="506"/>
      <c r="AR50" s="527" t="str">
        <f t="shared" si="1"/>
        <v/>
      </c>
      <c r="AS50" s="528" t="str">
        <f t="shared" si="23"/>
        <v/>
      </c>
      <c r="AT50" s="506"/>
      <c r="AU50" s="506"/>
      <c r="AV50" s="494"/>
      <c r="AW50" s="169">
        <v>24</v>
      </c>
      <c r="AX50" s="529"/>
      <c r="AY50" s="522"/>
      <c r="AZ50" s="524"/>
      <c r="BA50" s="524"/>
      <c r="BB50" s="524"/>
      <c r="BC50" s="524"/>
      <c r="BD50" s="524"/>
      <c r="BE50" s="524"/>
      <c r="BF50" s="524"/>
      <c r="BG50" s="530"/>
      <c r="BH50" s="424"/>
      <c r="BI50" s="424"/>
      <c r="BJ50" s="531" t="str">
        <f t="shared" si="2"/>
        <v/>
      </c>
      <c r="BK50" s="532" t="str">
        <f t="shared" si="3"/>
        <v/>
      </c>
      <c r="BL50" s="532" t="str">
        <f t="shared" si="24"/>
        <v/>
      </c>
      <c r="BM50" s="532" t="str">
        <f t="shared" si="25"/>
        <v/>
      </c>
      <c r="BN50" s="532" t="str">
        <f t="shared" si="26"/>
        <v/>
      </c>
      <c r="BO50" s="532" t="str">
        <f t="shared" si="4"/>
        <v/>
      </c>
      <c r="BP50" s="532" t="str">
        <f t="shared" si="5"/>
        <v/>
      </c>
      <c r="BQ50" s="532" t="str">
        <f t="shared" si="6"/>
        <v/>
      </c>
      <c r="BR50" s="532" t="str">
        <f t="shared" si="7"/>
        <v/>
      </c>
      <c r="BS50" s="532" t="str">
        <f t="shared" si="8"/>
        <v/>
      </c>
      <c r="BT50" s="532" t="str">
        <f t="shared" si="27"/>
        <v/>
      </c>
      <c r="BU50" s="532" t="str">
        <f t="shared" si="28"/>
        <v/>
      </c>
      <c r="BV50" s="532" t="str">
        <f t="shared" si="9"/>
        <v/>
      </c>
      <c r="BW50" s="532" t="str">
        <f t="shared" si="10"/>
        <v/>
      </c>
      <c r="BX50" s="532" t="str">
        <f t="shared" si="11"/>
        <v/>
      </c>
      <c r="BY50" s="532" t="str">
        <f t="shared" si="11"/>
        <v/>
      </c>
      <c r="BZ50" s="532" t="str">
        <f t="shared" si="11"/>
        <v/>
      </c>
      <c r="CA50" s="532" t="str">
        <f t="shared" si="29"/>
        <v/>
      </c>
      <c r="CB50" s="532" t="str">
        <f t="shared" si="12"/>
        <v/>
      </c>
      <c r="CC50" s="532" t="str">
        <f t="shared" si="30"/>
        <v/>
      </c>
      <c r="CD50" s="532" t="str">
        <f t="shared" si="31"/>
        <v/>
      </c>
      <c r="CE50" s="532" t="str">
        <f t="shared" si="13"/>
        <v/>
      </c>
      <c r="CF50" s="533" t="str">
        <f t="shared" si="14"/>
        <v/>
      </c>
      <c r="CG50" s="534" t="str">
        <f t="shared" si="32"/>
        <v/>
      </c>
      <c r="CH50" s="424"/>
      <c r="CI50" s="531" t="str">
        <f t="shared" si="33"/>
        <v/>
      </c>
      <c r="CJ50" s="534" t="str">
        <f t="shared" si="34"/>
        <v/>
      </c>
      <c r="CK50" s="424"/>
      <c r="CL50" s="531" t="str">
        <f t="shared" si="35"/>
        <v/>
      </c>
      <c r="CM50" s="534" t="str">
        <f t="shared" si="36"/>
        <v/>
      </c>
      <c r="CN50" s="424"/>
      <c r="CO50" s="531" t="str">
        <f t="shared" si="15"/>
        <v/>
      </c>
      <c r="CP50" s="532" t="str">
        <f t="shared" si="16"/>
        <v/>
      </c>
      <c r="CQ50" s="534" t="str">
        <f t="shared" si="17"/>
        <v/>
      </c>
      <c r="CR50" s="424"/>
      <c r="CS50" s="531" t="str">
        <f t="shared" si="18"/>
        <v/>
      </c>
      <c r="CT50" s="532" t="str">
        <f t="shared" si="19"/>
        <v/>
      </c>
      <c r="CU50" s="534" t="str">
        <f t="shared" si="20"/>
        <v/>
      </c>
      <c r="CW50" s="535" t="str">
        <f t="shared" si="37"/>
        <v/>
      </c>
      <c r="CX50" s="536">
        <f t="shared" si="38"/>
        <v>0</v>
      </c>
    </row>
    <row r="51" spans="2:102" s="410" customFormat="1" x14ac:dyDescent="0.2">
      <c r="B51" s="169">
        <v>25</v>
      </c>
      <c r="C51" s="517"/>
      <c r="D51" s="518"/>
      <c r="E51" s="519"/>
      <c r="F51" s="518"/>
      <c r="G51" s="518"/>
      <c r="H51" s="518"/>
      <c r="I51" s="518"/>
      <c r="J51" s="519"/>
      <c r="K51" s="520"/>
      <c r="L51" s="520"/>
      <c r="M51" s="520"/>
      <c r="N51" s="521" t="str">
        <f t="shared" si="21"/>
        <v/>
      </c>
      <c r="O51" s="522"/>
      <c r="P51" s="522"/>
      <c r="Q51" s="520"/>
      <c r="R51" s="522"/>
      <c r="S51" s="522"/>
      <c r="T51" s="523"/>
      <c r="U51" s="522"/>
      <c r="V51" s="519"/>
      <c r="W51" s="522"/>
      <c r="X51" s="523"/>
      <c r="Y51" s="522"/>
      <c r="Z51" s="522"/>
      <c r="AA51" s="522"/>
      <c r="AB51" s="522"/>
      <c r="AC51" s="524"/>
      <c r="AD51" s="525"/>
      <c r="AE51" s="525"/>
      <c r="AF51" s="522"/>
      <c r="AG51" s="522"/>
      <c r="AH51" s="522"/>
      <c r="AI51" s="522"/>
      <c r="AJ51" s="522"/>
      <c r="AK51" s="522"/>
      <c r="AL51" s="522"/>
      <c r="AM51" s="526"/>
      <c r="AN51" s="506"/>
      <c r="AO51" s="527" t="str">
        <f t="shared" si="0"/>
        <v/>
      </c>
      <c r="AP51" s="528" t="str">
        <f t="shared" si="22"/>
        <v/>
      </c>
      <c r="AQ51" s="506"/>
      <c r="AR51" s="527" t="str">
        <f t="shared" si="1"/>
        <v/>
      </c>
      <c r="AS51" s="528" t="str">
        <f t="shared" si="23"/>
        <v/>
      </c>
      <c r="AT51" s="506"/>
      <c r="AU51" s="506"/>
      <c r="AV51" s="494"/>
      <c r="AW51" s="169">
        <v>25</v>
      </c>
      <c r="AX51" s="529"/>
      <c r="AY51" s="522"/>
      <c r="AZ51" s="524"/>
      <c r="BA51" s="524"/>
      <c r="BB51" s="524"/>
      <c r="BC51" s="524"/>
      <c r="BD51" s="524"/>
      <c r="BE51" s="524"/>
      <c r="BF51" s="524"/>
      <c r="BG51" s="530"/>
      <c r="BH51" s="424"/>
      <c r="BI51" s="424"/>
      <c r="BJ51" s="531" t="str">
        <f t="shared" si="2"/>
        <v/>
      </c>
      <c r="BK51" s="532" t="str">
        <f t="shared" si="3"/>
        <v/>
      </c>
      <c r="BL51" s="532" t="str">
        <f t="shared" si="24"/>
        <v/>
      </c>
      <c r="BM51" s="532" t="str">
        <f t="shared" si="25"/>
        <v/>
      </c>
      <c r="BN51" s="532" t="str">
        <f t="shared" si="26"/>
        <v/>
      </c>
      <c r="BO51" s="532" t="str">
        <f t="shared" si="4"/>
        <v/>
      </c>
      <c r="BP51" s="532" t="str">
        <f t="shared" si="5"/>
        <v/>
      </c>
      <c r="BQ51" s="532" t="str">
        <f t="shared" si="6"/>
        <v/>
      </c>
      <c r="BR51" s="532" t="str">
        <f t="shared" si="7"/>
        <v/>
      </c>
      <c r="BS51" s="532" t="str">
        <f t="shared" si="8"/>
        <v/>
      </c>
      <c r="BT51" s="532" t="str">
        <f t="shared" si="27"/>
        <v/>
      </c>
      <c r="BU51" s="532" t="str">
        <f t="shared" si="28"/>
        <v/>
      </c>
      <c r="BV51" s="532" t="str">
        <f t="shared" si="9"/>
        <v/>
      </c>
      <c r="BW51" s="532" t="str">
        <f t="shared" si="10"/>
        <v/>
      </c>
      <c r="BX51" s="532" t="str">
        <f t="shared" si="11"/>
        <v/>
      </c>
      <c r="BY51" s="532" t="str">
        <f t="shared" si="11"/>
        <v/>
      </c>
      <c r="BZ51" s="532" t="str">
        <f t="shared" si="11"/>
        <v/>
      </c>
      <c r="CA51" s="532" t="str">
        <f t="shared" si="29"/>
        <v/>
      </c>
      <c r="CB51" s="532" t="str">
        <f t="shared" si="12"/>
        <v/>
      </c>
      <c r="CC51" s="532" t="str">
        <f t="shared" si="30"/>
        <v/>
      </c>
      <c r="CD51" s="532" t="str">
        <f t="shared" si="31"/>
        <v/>
      </c>
      <c r="CE51" s="532" t="str">
        <f t="shared" si="13"/>
        <v/>
      </c>
      <c r="CF51" s="533" t="str">
        <f t="shared" si="14"/>
        <v/>
      </c>
      <c r="CG51" s="534" t="str">
        <f t="shared" si="32"/>
        <v/>
      </c>
      <c r="CH51" s="424"/>
      <c r="CI51" s="531" t="str">
        <f t="shared" si="33"/>
        <v/>
      </c>
      <c r="CJ51" s="534" t="str">
        <f t="shared" si="34"/>
        <v/>
      </c>
      <c r="CK51" s="424"/>
      <c r="CL51" s="531" t="str">
        <f t="shared" si="35"/>
        <v/>
      </c>
      <c r="CM51" s="534" t="str">
        <f t="shared" si="36"/>
        <v/>
      </c>
      <c r="CN51" s="424"/>
      <c r="CO51" s="531" t="str">
        <f t="shared" si="15"/>
        <v/>
      </c>
      <c r="CP51" s="532" t="str">
        <f t="shared" si="16"/>
        <v/>
      </c>
      <c r="CQ51" s="534" t="str">
        <f t="shared" si="17"/>
        <v/>
      </c>
      <c r="CR51" s="424"/>
      <c r="CS51" s="531" t="str">
        <f t="shared" si="18"/>
        <v/>
      </c>
      <c r="CT51" s="532" t="str">
        <f t="shared" si="19"/>
        <v/>
      </c>
      <c r="CU51" s="534" t="str">
        <f t="shared" si="20"/>
        <v/>
      </c>
      <c r="CW51" s="535" t="str">
        <f t="shared" si="37"/>
        <v/>
      </c>
      <c r="CX51" s="536">
        <f t="shared" si="38"/>
        <v>0</v>
      </c>
    </row>
    <row r="52" spans="2:102" s="410" customFormat="1" x14ac:dyDescent="0.2">
      <c r="B52" s="169">
        <v>26</v>
      </c>
      <c r="C52" s="517"/>
      <c r="D52" s="518"/>
      <c r="E52" s="519"/>
      <c r="F52" s="518"/>
      <c r="G52" s="518"/>
      <c r="H52" s="518"/>
      <c r="I52" s="518"/>
      <c r="J52" s="519"/>
      <c r="K52" s="520"/>
      <c r="L52" s="520"/>
      <c r="M52" s="520"/>
      <c r="N52" s="521" t="str">
        <f t="shared" si="21"/>
        <v/>
      </c>
      <c r="O52" s="522"/>
      <c r="P52" s="522"/>
      <c r="Q52" s="520"/>
      <c r="R52" s="522"/>
      <c r="S52" s="522"/>
      <c r="T52" s="523"/>
      <c r="U52" s="522"/>
      <c r="V52" s="519"/>
      <c r="W52" s="522"/>
      <c r="X52" s="523"/>
      <c r="Y52" s="522"/>
      <c r="Z52" s="522"/>
      <c r="AA52" s="522"/>
      <c r="AB52" s="522"/>
      <c r="AC52" s="524"/>
      <c r="AD52" s="525"/>
      <c r="AE52" s="525"/>
      <c r="AF52" s="522"/>
      <c r="AG52" s="522"/>
      <c r="AH52" s="522"/>
      <c r="AI52" s="522"/>
      <c r="AJ52" s="522"/>
      <c r="AK52" s="522"/>
      <c r="AL52" s="522"/>
      <c r="AM52" s="526"/>
      <c r="AN52" s="506"/>
      <c r="AO52" s="527" t="str">
        <f t="shared" si="0"/>
        <v/>
      </c>
      <c r="AP52" s="528" t="str">
        <f t="shared" si="22"/>
        <v/>
      </c>
      <c r="AQ52" s="506"/>
      <c r="AR52" s="527" t="str">
        <f t="shared" si="1"/>
        <v/>
      </c>
      <c r="AS52" s="528" t="str">
        <f t="shared" si="23"/>
        <v/>
      </c>
      <c r="AT52" s="506"/>
      <c r="AU52" s="506"/>
      <c r="AV52" s="494"/>
      <c r="AW52" s="169">
        <v>26</v>
      </c>
      <c r="AX52" s="529"/>
      <c r="AY52" s="522"/>
      <c r="AZ52" s="524"/>
      <c r="BA52" s="524"/>
      <c r="BB52" s="524"/>
      <c r="BC52" s="524"/>
      <c r="BD52" s="524"/>
      <c r="BE52" s="524"/>
      <c r="BF52" s="524"/>
      <c r="BG52" s="530"/>
      <c r="BH52" s="424"/>
      <c r="BI52" s="424"/>
      <c r="BJ52" s="531" t="str">
        <f t="shared" si="2"/>
        <v/>
      </c>
      <c r="BK52" s="532" t="str">
        <f t="shared" si="3"/>
        <v/>
      </c>
      <c r="BL52" s="532" t="str">
        <f t="shared" si="24"/>
        <v/>
      </c>
      <c r="BM52" s="532" t="str">
        <f t="shared" si="25"/>
        <v/>
      </c>
      <c r="BN52" s="532" t="str">
        <f t="shared" si="26"/>
        <v/>
      </c>
      <c r="BO52" s="532" t="str">
        <f t="shared" si="4"/>
        <v/>
      </c>
      <c r="BP52" s="532" t="str">
        <f t="shared" si="5"/>
        <v/>
      </c>
      <c r="BQ52" s="532" t="str">
        <f t="shared" si="6"/>
        <v/>
      </c>
      <c r="BR52" s="532" t="str">
        <f t="shared" si="7"/>
        <v/>
      </c>
      <c r="BS52" s="532" t="str">
        <f t="shared" si="8"/>
        <v/>
      </c>
      <c r="BT52" s="532" t="str">
        <f t="shared" si="27"/>
        <v/>
      </c>
      <c r="BU52" s="532" t="str">
        <f t="shared" si="28"/>
        <v/>
      </c>
      <c r="BV52" s="532" t="str">
        <f t="shared" si="9"/>
        <v/>
      </c>
      <c r="BW52" s="532" t="str">
        <f t="shared" si="10"/>
        <v/>
      </c>
      <c r="BX52" s="532" t="str">
        <f t="shared" si="11"/>
        <v/>
      </c>
      <c r="BY52" s="532" t="str">
        <f t="shared" si="11"/>
        <v/>
      </c>
      <c r="BZ52" s="532" t="str">
        <f t="shared" si="11"/>
        <v/>
      </c>
      <c r="CA52" s="532" t="str">
        <f t="shared" si="29"/>
        <v/>
      </c>
      <c r="CB52" s="532" t="str">
        <f t="shared" si="12"/>
        <v/>
      </c>
      <c r="CC52" s="532" t="str">
        <f t="shared" si="30"/>
        <v/>
      </c>
      <c r="CD52" s="532" t="str">
        <f t="shared" si="31"/>
        <v/>
      </c>
      <c r="CE52" s="532" t="str">
        <f t="shared" si="13"/>
        <v/>
      </c>
      <c r="CF52" s="533" t="str">
        <f t="shared" si="14"/>
        <v/>
      </c>
      <c r="CG52" s="534" t="str">
        <f t="shared" si="32"/>
        <v/>
      </c>
      <c r="CH52" s="424"/>
      <c r="CI52" s="531" t="str">
        <f t="shared" si="33"/>
        <v/>
      </c>
      <c r="CJ52" s="534" t="str">
        <f t="shared" si="34"/>
        <v/>
      </c>
      <c r="CK52" s="424"/>
      <c r="CL52" s="531" t="str">
        <f t="shared" si="35"/>
        <v/>
      </c>
      <c r="CM52" s="534" t="str">
        <f t="shared" si="36"/>
        <v/>
      </c>
      <c r="CN52" s="424"/>
      <c r="CO52" s="531" t="str">
        <f t="shared" si="15"/>
        <v/>
      </c>
      <c r="CP52" s="532" t="str">
        <f t="shared" si="16"/>
        <v/>
      </c>
      <c r="CQ52" s="534" t="str">
        <f t="shared" si="17"/>
        <v/>
      </c>
      <c r="CR52" s="424"/>
      <c r="CS52" s="531" t="str">
        <f t="shared" si="18"/>
        <v/>
      </c>
      <c r="CT52" s="532" t="str">
        <f t="shared" si="19"/>
        <v/>
      </c>
      <c r="CU52" s="534" t="str">
        <f t="shared" si="20"/>
        <v/>
      </c>
      <c r="CW52" s="535" t="str">
        <f t="shared" si="37"/>
        <v/>
      </c>
      <c r="CX52" s="536">
        <f t="shared" si="38"/>
        <v>0</v>
      </c>
    </row>
    <row r="53" spans="2:102" s="410" customFormat="1" x14ac:dyDescent="0.2">
      <c r="B53" s="169">
        <v>27</v>
      </c>
      <c r="C53" s="517"/>
      <c r="D53" s="518"/>
      <c r="E53" s="519"/>
      <c r="F53" s="518"/>
      <c r="G53" s="518"/>
      <c r="H53" s="518"/>
      <c r="I53" s="518"/>
      <c r="J53" s="519"/>
      <c r="K53" s="520"/>
      <c r="L53" s="520"/>
      <c r="M53" s="520"/>
      <c r="N53" s="521" t="str">
        <f t="shared" si="21"/>
        <v/>
      </c>
      <c r="O53" s="522"/>
      <c r="P53" s="522"/>
      <c r="Q53" s="520"/>
      <c r="R53" s="522"/>
      <c r="S53" s="522"/>
      <c r="T53" s="523"/>
      <c r="U53" s="522"/>
      <c r="V53" s="519"/>
      <c r="W53" s="522"/>
      <c r="X53" s="523"/>
      <c r="Y53" s="522"/>
      <c r="Z53" s="522"/>
      <c r="AA53" s="522"/>
      <c r="AB53" s="522"/>
      <c r="AC53" s="524"/>
      <c r="AD53" s="525"/>
      <c r="AE53" s="525"/>
      <c r="AF53" s="522"/>
      <c r="AG53" s="522"/>
      <c r="AH53" s="522"/>
      <c r="AI53" s="522"/>
      <c r="AJ53" s="522"/>
      <c r="AK53" s="522"/>
      <c r="AL53" s="522"/>
      <c r="AM53" s="526"/>
      <c r="AN53" s="506"/>
      <c r="AO53" s="527" t="str">
        <f t="shared" si="0"/>
        <v/>
      </c>
      <c r="AP53" s="528" t="str">
        <f t="shared" si="22"/>
        <v/>
      </c>
      <c r="AQ53" s="506"/>
      <c r="AR53" s="527" t="str">
        <f t="shared" si="1"/>
        <v/>
      </c>
      <c r="AS53" s="528" t="str">
        <f t="shared" si="23"/>
        <v/>
      </c>
      <c r="AT53" s="506"/>
      <c r="AU53" s="506"/>
      <c r="AV53" s="494"/>
      <c r="AW53" s="169">
        <v>27</v>
      </c>
      <c r="AX53" s="529"/>
      <c r="AY53" s="522"/>
      <c r="AZ53" s="524"/>
      <c r="BA53" s="524"/>
      <c r="BB53" s="524"/>
      <c r="BC53" s="524"/>
      <c r="BD53" s="524"/>
      <c r="BE53" s="524"/>
      <c r="BF53" s="524"/>
      <c r="BG53" s="530"/>
      <c r="BH53" s="424"/>
      <c r="BI53" s="424"/>
      <c r="BJ53" s="531" t="str">
        <f t="shared" si="2"/>
        <v/>
      </c>
      <c r="BK53" s="532" t="str">
        <f t="shared" si="3"/>
        <v/>
      </c>
      <c r="BL53" s="532" t="str">
        <f t="shared" si="24"/>
        <v/>
      </c>
      <c r="BM53" s="532" t="str">
        <f t="shared" si="25"/>
        <v/>
      </c>
      <c r="BN53" s="532" t="str">
        <f t="shared" si="26"/>
        <v/>
      </c>
      <c r="BO53" s="532" t="str">
        <f t="shared" si="4"/>
        <v/>
      </c>
      <c r="BP53" s="532" t="str">
        <f t="shared" si="5"/>
        <v/>
      </c>
      <c r="BQ53" s="532" t="str">
        <f t="shared" si="6"/>
        <v/>
      </c>
      <c r="BR53" s="532" t="str">
        <f t="shared" si="7"/>
        <v/>
      </c>
      <c r="BS53" s="532" t="str">
        <f t="shared" si="8"/>
        <v/>
      </c>
      <c r="BT53" s="532" t="str">
        <f t="shared" si="27"/>
        <v/>
      </c>
      <c r="BU53" s="532" t="str">
        <f t="shared" si="28"/>
        <v/>
      </c>
      <c r="BV53" s="532" t="str">
        <f t="shared" si="9"/>
        <v/>
      </c>
      <c r="BW53" s="532" t="str">
        <f t="shared" si="10"/>
        <v/>
      </c>
      <c r="BX53" s="532" t="str">
        <f t="shared" si="11"/>
        <v/>
      </c>
      <c r="BY53" s="532" t="str">
        <f t="shared" si="11"/>
        <v/>
      </c>
      <c r="BZ53" s="532" t="str">
        <f t="shared" si="11"/>
        <v/>
      </c>
      <c r="CA53" s="532" t="str">
        <f t="shared" si="29"/>
        <v/>
      </c>
      <c r="CB53" s="532" t="str">
        <f t="shared" si="12"/>
        <v/>
      </c>
      <c r="CC53" s="532" t="str">
        <f t="shared" si="30"/>
        <v/>
      </c>
      <c r="CD53" s="532" t="str">
        <f t="shared" si="31"/>
        <v/>
      </c>
      <c r="CE53" s="532" t="str">
        <f t="shared" si="13"/>
        <v/>
      </c>
      <c r="CF53" s="533" t="str">
        <f t="shared" si="14"/>
        <v/>
      </c>
      <c r="CG53" s="534" t="str">
        <f t="shared" si="32"/>
        <v/>
      </c>
      <c r="CH53" s="424"/>
      <c r="CI53" s="531" t="str">
        <f t="shared" si="33"/>
        <v/>
      </c>
      <c r="CJ53" s="534" t="str">
        <f t="shared" si="34"/>
        <v/>
      </c>
      <c r="CK53" s="424"/>
      <c r="CL53" s="531" t="str">
        <f t="shared" si="35"/>
        <v/>
      </c>
      <c r="CM53" s="534" t="str">
        <f t="shared" si="36"/>
        <v/>
      </c>
      <c r="CN53" s="424"/>
      <c r="CO53" s="531" t="str">
        <f t="shared" si="15"/>
        <v/>
      </c>
      <c r="CP53" s="532" t="str">
        <f t="shared" si="16"/>
        <v/>
      </c>
      <c r="CQ53" s="534" t="str">
        <f t="shared" si="17"/>
        <v/>
      </c>
      <c r="CR53" s="424"/>
      <c r="CS53" s="531" t="str">
        <f t="shared" si="18"/>
        <v/>
      </c>
      <c r="CT53" s="532" t="str">
        <f t="shared" si="19"/>
        <v/>
      </c>
      <c r="CU53" s="534" t="str">
        <f t="shared" si="20"/>
        <v/>
      </c>
      <c r="CW53" s="535" t="str">
        <f t="shared" si="37"/>
        <v/>
      </c>
      <c r="CX53" s="536">
        <f t="shared" si="38"/>
        <v>0</v>
      </c>
    </row>
    <row r="54" spans="2:102" s="410" customFormat="1" x14ac:dyDescent="0.2">
      <c r="B54" s="169">
        <v>28</v>
      </c>
      <c r="C54" s="517"/>
      <c r="D54" s="518"/>
      <c r="E54" s="519"/>
      <c r="F54" s="518"/>
      <c r="G54" s="518"/>
      <c r="H54" s="518"/>
      <c r="I54" s="518"/>
      <c r="J54" s="519"/>
      <c r="K54" s="520"/>
      <c r="L54" s="520"/>
      <c r="M54" s="520"/>
      <c r="N54" s="521" t="str">
        <f t="shared" si="21"/>
        <v/>
      </c>
      <c r="O54" s="522"/>
      <c r="P54" s="522"/>
      <c r="Q54" s="520"/>
      <c r="R54" s="522"/>
      <c r="S54" s="522"/>
      <c r="T54" s="523"/>
      <c r="U54" s="522"/>
      <c r="V54" s="519"/>
      <c r="W54" s="522"/>
      <c r="X54" s="523"/>
      <c r="Y54" s="522"/>
      <c r="Z54" s="522"/>
      <c r="AA54" s="522"/>
      <c r="AB54" s="522"/>
      <c r="AC54" s="524"/>
      <c r="AD54" s="525"/>
      <c r="AE54" s="525"/>
      <c r="AF54" s="522"/>
      <c r="AG54" s="522"/>
      <c r="AH54" s="522"/>
      <c r="AI54" s="522"/>
      <c r="AJ54" s="522"/>
      <c r="AK54" s="522"/>
      <c r="AL54" s="522"/>
      <c r="AM54" s="526"/>
      <c r="AN54" s="506"/>
      <c r="AO54" s="527" t="str">
        <f t="shared" si="0"/>
        <v/>
      </c>
      <c r="AP54" s="528" t="str">
        <f t="shared" si="22"/>
        <v/>
      </c>
      <c r="AQ54" s="506"/>
      <c r="AR54" s="527" t="str">
        <f t="shared" si="1"/>
        <v/>
      </c>
      <c r="AS54" s="528" t="str">
        <f t="shared" si="23"/>
        <v/>
      </c>
      <c r="AT54" s="506"/>
      <c r="AU54" s="506"/>
      <c r="AV54" s="494"/>
      <c r="AW54" s="169">
        <v>28</v>
      </c>
      <c r="AX54" s="529"/>
      <c r="AY54" s="522"/>
      <c r="AZ54" s="524"/>
      <c r="BA54" s="524"/>
      <c r="BB54" s="524"/>
      <c r="BC54" s="524"/>
      <c r="BD54" s="524"/>
      <c r="BE54" s="524"/>
      <c r="BF54" s="524"/>
      <c r="BG54" s="530"/>
      <c r="BH54" s="424"/>
      <c r="BI54" s="424"/>
      <c r="BJ54" s="531" t="str">
        <f t="shared" si="2"/>
        <v/>
      </c>
      <c r="BK54" s="532" t="str">
        <f t="shared" si="3"/>
        <v/>
      </c>
      <c r="BL54" s="532" t="str">
        <f t="shared" si="24"/>
        <v/>
      </c>
      <c r="BM54" s="532" t="str">
        <f t="shared" si="25"/>
        <v/>
      </c>
      <c r="BN54" s="532" t="str">
        <f t="shared" si="26"/>
        <v/>
      </c>
      <c r="BO54" s="532" t="str">
        <f t="shared" si="4"/>
        <v/>
      </c>
      <c r="BP54" s="532" t="str">
        <f t="shared" si="5"/>
        <v/>
      </c>
      <c r="BQ54" s="532" t="str">
        <f t="shared" si="6"/>
        <v/>
      </c>
      <c r="BR54" s="532" t="str">
        <f t="shared" si="7"/>
        <v/>
      </c>
      <c r="BS54" s="532" t="str">
        <f t="shared" si="8"/>
        <v/>
      </c>
      <c r="BT54" s="532" t="str">
        <f t="shared" si="27"/>
        <v/>
      </c>
      <c r="BU54" s="532" t="str">
        <f t="shared" si="28"/>
        <v/>
      </c>
      <c r="BV54" s="532" t="str">
        <f t="shared" si="9"/>
        <v/>
      </c>
      <c r="BW54" s="532" t="str">
        <f t="shared" si="10"/>
        <v/>
      </c>
      <c r="BX54" s="532" t="str">
        <f t="shared" si="11"/>
        <v/>
      </c>
      <c r="BY54" s="532" t="str">
        <f t="shared" si="11"/>
        <v/>
      </c>
      <c r="BZ54" s="532" t="str">
        <f t="shared" si="11"/>
        <v/>
      </c>
      <c r="CA54" s="532" t="str">
        <f t="shared" si="29"/>
        <v/>
      </c>
      <c r="CB54" s="532" t="str">
        <f t="shared" si="12"/>
        <v/>
      </c>
      <c r="CC54" s="532" t="str">
        <f t="shared" si="30"/>
        <v/>
      </c>
      <c r="CD54" s="532" t="str">
        <f t="shared" si="31"/>
        <v/>
      </c>
      <c r="CE54" s="532" t="str">
        <f t="shared" si="13"/>
        <v/>
      </c>
      <c r="CF54" s="533" t="str">
        <f t="shared" si="14"/>
        <v/>
      </c>
      <c r="CG54" s="534" t="str">
        <f t="shared" si="32"/>
        <v/>
      </c>
      <c r="CH54" s="424"/>
      <c r="CI54" s="531" t="str">
        <f t="shared" si="33"/>
        <v/>
      </c>
      <c r="CJ54" s="534" t="str">
        <f t="shared" si="34"/>
        <v/>
      </c>
      <c r="CK54" s="424"/>
      <c r="CL54" s="531" t="str">
        <f t="shared" si="35"/>
        <v/>
      </c>
      <c r="CM54" s="534" t="str">
        <f t="shared" si="36"/>
        <v/>
      </c>
      <c r="CN54" s="424"/>
      <c r="CO54" s="531" t="str">
        <f t="shared" si="15"/>
        <v/>
      </c>
      <c r="CP54" s="532" t="str">
        <f t="shared" si="16"/>
        <v/>
      </c>
      <c r="CQ54" s="534" t="str">
        <f t="shared" si="17"/>
        <v/>
      </c>
      <c r="CR54" s="424"/>
      <c r="CS54" s="531" t="str">
        <f t="shared" si="18"/>
        <v/>
      </c>
      <c r="CT54" s="532" t="str">
        <f t="shared" si="19"/>
        <v/>
      </c>
      <c r="CU54" s="534" t="str">
        <f t="shared" si="20"/>
        <v/>
      </c>
      <c r="CW54" s="535" t="str">
        <f t="shared" si="37"/>
        <v/>
      </c>
      <c r="CX54" s="536">
        <f t="shared" si="38"/>
        <v>0</v>
      </c>
    </row>
    <row r="55" spans="2:102" s="410" customFormat="1" x14ac:dyDescent="0.2">
      <c r="B55" s="169">
        <v>29</v>
      </c>
      <c r="C55" s="517"/>
      <c r="D55" s="518"/>
      <c r="E55" s="519"/>
      <c r="F55" s="518"/>
      <c r="G55" s="518"/>
      <c r="H55" s="518"/>
      <c r="I55" s="518"/>
      <c r="J55" s="519"/>
      <c r="K55" s="520"/>
      <c r="L55" s="520"/>
      <c r="M55" s="520"/>
      <c r="N55" s="521" t="str">
        <f t="shared" si="21"/>
        <v/>
      </c>
      <c r="O55" s="522"/>
      <c r="P55" s="522"/>
      <c r="Q55" s="520"/>
      <c r="R55" s="522"/>
      <c r="S55" s="522"/>
      <c r="T55" s="523"/>
      <c r="U55" s="522"/>
      <c r="V55" s="519"/>
      <c r="W55" s="522"/>
      <c r="X55" s="523"/>
      <c r="Y55" s="522"/>
      <c r="Z55" s="522"/>
      <c r="AA55" s="522"/>
      <c r="AB55" s="522"/>
      <c r="AC55" s="524"/>
      <c r="AD55" s="525"/>
      <c r="AE55" s="525"/>
      <c r="AF55" s="522"/>
      <c r="AG55" s="522"/>
      <c r="AH55" s="522"/>
      <c r="AI55" s="522"/>
      <c r="AJ55" s="522"/>
      <c r="AK55" s="522"/>
      <c r="AL55" s="522"/>
      <c r="AM55" s="526"/>
      <c r="AN55" s="506"/>
      <c r="AO55" s="527" t="str">
        <f t="shared" si="0"/>
        <v/>
      </c>
      <c r="AP55" s="528" t="str">
        <f t="shared" si="22"/>
        <v/>
      </c>
      <c r="AQ55" s="506"/>
      <c r="AR55" s="527" t="str">
        <f t="shared" si="1"/>
        <v/>
      </c>
      <c r="AS55" s="528" t="str">
        <f t="shared" si="23"/>
        <v/>
      </c>
      <c r="AT55" s="506"/>
      <c r="AU55" s="506"/>
      <c r="AV55" s="494"/>
      <c r="AW55" s="169">
        <v>29</v>
      </c>
      <c r="AX55" s="529"/>
      <c r="AY55" s="522"/>
      <c r="AZ55" s="524"/>
      <c r="BA55" s="524"/>
      <c r="BB55" s="524"/>
      <c r="BC55" s="524"/>
      <c r="BD55" s="524"/>
      <c r="BE55" s="524"/>
      <c r="BF55" s="524"/>
      <c r="BG55" s="530"/>
      <c r="BH55" s="424"/>
      <c r="BI55" s="424"/>
      <c r="BJ55" s="531" t="str">
        <f t="shared" si="2"/>
        <v/>
      </c>
      <c r="BK55" s="532" t="str">
        <f t="shared" si="3"/>
        <v/>
      </c>
      <c r="BL55" s="532" t="str">
        <f t="shared" si="24"/>
        <v/>
      </c>
      <c r="BM55" s="532" t="str">
        <f t="shared" si="25"/>
        <v/>
      </c>
      <c r="BN55" s="532" t="str">
        <f t="shared" si="26"/>
        <v/>
      </c>
      <c r="BO55" s="532" t="str">
        <f t="shared" si="4"/>
        <v/>
      </c>
      <c r="BP55" s="532" t="str">
        <f t="shared" si="5"/>
        <v/>
      </c>
      <c r="BQ55" s="532" t="str">
        <f t="shared" si="6"/>
        <v/>
      </c>
      <c r="BR55" s="532" t="str">
        <f t="shared" si="7"/>
        <v/>
      </c>
      <c r="BS55" s="532" t="str">
        <f t="shared" si="8"/>
        <v/>
      </c>
      <c r="BT55" s="532" t="str">
        <f t="shared" si="27"/>
        <v/>
      </c>
      <c r="BU55" s="532" t="str">
        <f t="shared" si="28"/>
        <v/>
      </c>
      <c r="BV55" s="532" t="str">
        <f t="shared" si="9"/>
        <v/>
      </c>
      <c r="BW55" s="532" t="str">
        <f t="shared" si="10"/>
        <v/>
      </c>
      <c r="BX55" s="532" t="str">
        <f t="shared" si="11"/>
        <v/>
      </c>
      <c r="BY55" s="532" t="str">
        <f t="shared" si="11"/>
        <v/>
      </c>
      <c r="BZ55" s="532" t="str">
        <f t="shared" si="11"/>
        <v/>
      </c>
      <c r="CA55" s="532" t="str">
        <f t="shared" si="29"/>
        <v/>
      </c>
      <c r="CB55" s="532" t="str">
        <f t="shared" si="12"/>
        <v/>
      </c>
      <c r="CC55" s="532" t="str">
        <f t="shared" si="30"/>
        <v/>
      </c>
      <c r="CD55" s="532" t="str">
        <f t="shared" si="31"/>
        <v/>
      </c>
      <c r="CE55" s="532" t="str">
        <f t="shared" si="13"/>
        <v/>
      </c>
      <c r="CF55" s="533" t="str">
        <f t="shared" si="14"/>
        <v/>
      </c>
      <c r="CG55" s="534" t="str">
        <f t="shared" si="32"/>
        <v/>
      </c>
      <c r="CH55" s="424"/>
      <c r="CI55" s="531" t="str">
        <f t="shared" si="33"/>
        <v/>
      </c>
      <c r="CJ55" s="534" t="str">
        <f t="shared" si="34"/>
        <v/>
      </c>
      <c r="CK55" s="424"/>
      <c r="CL55" s="531" t="str">
        <f t="shared" si="35"/>
        <v/>
      </c>
      <c r="CM55" s="534" t="str">
        <f t="shared" si="36"/>
        <v/>
      </c>
      <c r="CN55" s="424"/>
      <c r="CO55" s="531" t="str">
        <f t="shared" si="15"/>
        <v/>
      </c>
      <c r="CP55" s="532" t="str">
        <f t="shared" si="16"/>
        <v/>
      </c>
      <c r="CQ55" s="534" t="str">
        <f t="shared" si="17"/>
        <v/>
      </c>
      <c r="CR55" s="424"/>
      <c r="CS55" s="531" t="str">
        <f t="shared" si="18"/>
        <v/>
      </c>
      <c r="CT55" s="532" t="str">
        <f t="shared" si="19"/>
        <v/>
      </c>
      <c r="CU55" s="534" t="str">
        <f t="shared" si="20"/>
        <v/>
      </c>
      <c r="CW55" s="535" t="str">
        <f t="shared" si="37"/>
        <v/>
      </c>
      <c r="CX55" s="536">
        <f t="shared" si="38"/>
        <v>0</v>
      </c>
    </row>
    <row r="56" spans="2:102" s="410" customFormat="1" x14ac:dyDescent="0.2">
      <c r="B56" s="169">
        <v>30</v>
      </c>
      <c r="C56" s="517"/>
      <c r="D56" s="518"/>
      <c r="E56" s="519"/>
      <c r="F56" s="518"/>
      <c r="G56" s="518"/>
      <c r="H56" s="518"/>
      <c r="I56" s="518"/>
      <c r="J56" s="519"/>
      <c r="K56" s="520"/>
      <c r="L56" s="520"/>
      <c r="M56" s="520"/>
      <c r="N56" s="521" t="str">
        <f t="shared" si="21"/>
        <v/>
      </c>
      <c r="O56" s="522"/>
      <c r="P56" s="522"/>
      <c r="Q56" s="520"/>
      <c r="R56" s="522"/>
      <c r="S56" s="522"/>
      <c r="T56" s="523"/>
      <c r="U56" s="522"/>
      <c r="V56" s="519"/>
      <c r="W56" s="522"/>
      <c r="X56" s="523"/>
      <c r="Y56" s="522"/>
      <c r="Z56" s="522"/>
      <c r="AA56" s="522"/>
      <c r="AB56" s="522"/>
      <c r="AC56" s="524"/>
      <c r="AD56" s="525"/>
      <c r="AE56" s="525"/>
      <c r="AF56" s="522"/>
      <c r="AG56" s="522"/>
      <c r="AH56" s="522"/>
      <c r="AI56" s="522"/>
      <c r="AJ56" s="522"/>
      <c r="AK56" s="522"/>
      <c r="AL56" s="522"/>
      <c r="AM56" s="526"/>
      <c r="AN56" s="506"/>
      <c r="AO56" s="527" t="str">
        <f t="shared" si="0"/>
        <v/>
      </c>
      <c r="AP56" s="528" t="str">
        <f t="shared" si="22"/>
        <v/>
      </c>
      <c r="AQ56" s="506"/>
      <c r="AR56" s="527" t="str">
        <f t="shared" si="1"/>
        <v/>
      </c>
      <c r="AS56" s="528" t="str">
        <f t="shared" si="23"/>
        <v/>
      </c>
      <c r="AT56" s="506"/>
      <c r="AU56" s="506"/>
      <c r="AV56" s="494"/>
      <c r="AW56" s="169">
        <v>30</v>
      </c>
      <c r="AX56" s="529"/>
      <c r="AY56" s="522"/>
      <c r="AZ56" s="524"/>
      <c r="BA56" s="524"/>
      <c r="BB56" s="524"/>
      <c r="BC56" s="524"/>
      <c r="BD56" s="524"/>
      <c r="BE56" s="524"/>
      <c r="BF56" s="524"/>
      <c r="BG56" s="530"/>
      <c r="BH56" s="424"/>
      <c r="BI56" s="424"/>
      <c r="BJ56" s="531" t="str">
        <f t="shared" si="2"/>
        <v/>
      </c>
      <c r="BK56" s="532" t="str">
        <f t="shared" si="3"/>
        <v/>
      </c>
      <c r="BL56" s="532" t="str">
        <f t="shared" si="24"/>
        <v/>
      </c>
      <c r="BM56" s="532" t="str">
        <f t="shared" si="25"/>
        <v/>
      </c>
      <c r="BN56" s="532" t="str">
        <f t="shared" si="26"/>
        <v/>
      </c>
      <c r="BO56" s="532" t="str">
        <f t="shared" si="4"/>
        <v/>
      </c>
      <c r="BP56" s="532" t="str">
        <f t="shared" si="5"/>
        <v/>
      </c>
      <c r="BQ56" s="532" t="str">
        <f t="shared" si="6"/>
        <v/>
      </c>
      <c r="BR56" s="532" t="str">
        <f t="shared" si="7"/>
        <v/>
      </c>
      <c r="BS56" s="532" t="str">
        <f t="shared" si="8"/>
        <v/>
      </c>
      <c r="BT56" s="532" t="str">
        <f t="shared" si="27"/>
        <v/>
      </c>
      <c r="BU56" s="532" t="str">
        <f t="shared" si="28"/>
        <v/>
      </c>
      <c r="BV56" s="532" t="str">
        <f t="shared" si="9"/>
        <v/>
      </c>
      <c r="BW56" s="532" t="str">
        <f t="shared" si="10"/>
        <v/>
      </c>
      <c r="BX56" s="532" t="str">
        <f t="shared" si="11"/>
        <v/>
      </c>
      <c r="BY56" s="532" t="str">
        <f t="shared" si="11"/>
        <v/>
      </c>
      <c r="BZ56" s="532" t="str">
        <f t="shared" si="11"/>
        <v/>
      </c>
      <c r="CA56" s="532" t="str">
        <f t="shared" si="29"/>
        <v/>
      </c>
      <c r="CB56" s="532" t="str">
        <f t="shared" si="12"/>
        <v/>
      </c>
      <c r="CC56" s="532" t="str">
        <f t="shared" si="30"/>
        <v/>
      </c>
      <c r="CD56" s="532" t="str">
        <f t="shared" si="31"/>
        <v/>
      </c>
      <c r="CE56" s="532" t="str">
        <f t="shared" si="13"/>
        <v/>
      </c>
      <c r="CF56" s="533" t="str">
        <f t="shared" si="14"/>
        <v/>
      </c>
      <c r="CG56" s="534" t="str">
        <f t="shared" si="32"/>
        <v/>
      </c>
      <c r="CH56" s="424"/>
      <c r="CI56" s="531" t="str">
        <f t="shared" si="33"/>
        <v/>
      </c>
      <c r="CJ56" s="534" t="str">
        <f t="shared" si="34"/>
        <v/>
      </c>
      <c r="CK56" s="424"/>
      <c r="CL56" s="531" t="str">
        <f t="shared" si="35"/>
        <v/>
      </c>
      <c r="CM56" s="534" t="str">
        <f t="shared" si="36"/>
        <v/>
      </c>
      <c r="CN56" s="424"/>
      <c r="CO56" s="531" t="str">
        <f t="shared" si="15"/>
        <v/>
      </c>
      <c r="CP56" s="532" t="str">
        <f t="shared" si="16"/>
        <v/>
      </c>
      <c r="CQ56" s="534" t="str">
        <f t="shared" si="17"/>
        <v/>
      </c>
      <c r="CR56" s="424"/>
      <c r="CS56" s="531" t="str">
        <f t="shared" si="18"/>
        <v/>
      </c>
      <c r="CT56" s="532" t="str">
        <f t="shared" si="19"/>
        <v/>
      </c>
      <c r="CU56" s="534" t="str">
        <f t="shared" si="20"/>
        <v/>
      </c>
      <c r="CW56" s="535" t="str">
        <f t="shared" si="37"/>
        <v/>
      </c>
      <c r="CX56" s="536">
        <f t="shared" si="38"/>
        <v>0</v>
      </c>
    </row>
    <row r="57" spans="2:102" s="410" customFormat="1" x14ac:dyDescent="0.2">
      <c r="B57" s="169">
        <v>31</v>
      </c>
      <c r="C57" s="517"/>
      <c r="D57" s="518"/>
      <c r="E57" s="519"/>
      <c r="F57" s="518"/>
      <c r="G57" s="518"/>
      <c r="H57" s="518"/>
      <c r="I57" s="518"/>
      <c r="J57" s="519"/>
      <c r="K57" s="520"/>
      <c r="L57" s="520"/>
      <c r="M57" s="520"/>
      <c r="N57" s="521" t="str">
        <f t="shared" si="21"/>
        <v/>
      </c>
      <c r="O57" s="522"/>
      <c r="P57" s="522"/>
      <c r="Q57" s="520"/>
      <c r="R57" s="522"/>
      <c r="S57" s="522"/>
      <c r="T57" s="523"/>
      <c r="U57" s="522"/>
      <c r="V57" s="519"/>
      <c r="W57" s="522"/>
      <c r="X57" s="523"/>
      <c r="Y57" s="522"/>
      <c r="Z57" s="522"/>
      <c r="AA57" s="522"/>
      <c r="AB57" s="522"/>
      <c r="AC57" s="524"/>
      <c r="AD57" s="525"/>
      <c r="AE57" s="525"/>
      <c r="AF57" s="522"/>
      <c r="AG57" s="522"/>
      <c r="AH57" s="522"/>
      <c r="AI57" s="522"/>
      <c r="AJ57" s="522"/>
      <c r="AK57" s="522"/>
      <c r="AL57" s="522"/>
      <c r="AM57" s="526"/>
      <c r="AN57" s="506"/>
      <c r="AO57" s="527" t="str">
        <f t="shared" si="0"/>
        <v/>
      </c>
      <c r="AP57" s="528" t="str">
        <f t="shared" si="22"/>
        <v/>
      </c>
      <c r="AQ57" s="506"/>
      <c r="AR57" s="527" t="str">
        <f t="shared" si="1"/>
        <v/>
      </c>
      <c r="AS57" s="528" t="str">
        <f t="shared" si="23"/>
        <v/>
      </c>
      <c r="AT57" s="506"/>
      <c r="AU57" s="506"/>
      <c r="AV57" s="494"/>
      <c r="AW57" s="169">
        <v>31</v>
      </c>
      <c r="AX57" s="529"/>
      <c r="AY57" s="522"/>
      <c r="AZ57" s="524"/>
      <c r="BA57" s="524"/>
      <c r="BB57" s="524"/>
      <c r="BC57" s="524"/>
      <c r="BD57" s="524"/>
      <c r="BE57" s="524"/>
      <c r="BF57" s="524"/>
      <c r="BG57" s="530"/>
      <c r="BH57" s="424"/>
      <c r="BI57" s="424"/>
      <c r="BJ57" s="531" t="str">
        <f t="shared" si="2"/>
        <v/>
      </c>
      <c r="BK57" s="532" t="str">
        <f t="shared" si="3"/>
        <v/>
      </c>
      <c r="BL57" s="532" t="str">
        <f t="shared" si="24"/>
        <v/>
      </c>
      <c r="BM57" s="532" t="str">
        <f t="shared" si="25"/>
        <v/>
      </c>
      <c r="BN57" s="532" t="str">
        <f t="shared" si="26"/>
        <v/>
      </c>
      <c r="BO57" s="532" t="str">
        <f t="shared" si="4"/>
        <v/>
      </c>
      <c r="BP57" s="532" t="str">
        <f t="shared" si="5"/>
        <v/>
      </c>
      <c r="BQ57" s="532" t="str">
        <f t="shared" si="6"/>
        <v/>
      </c>
      <c r="BR57" s="532" t="str">
        <f t="shared" si="7"/>
        <v/>
      </c>
      <c r="BS57" s="532" t="str">
        <f t="shared" si="8"/>
        <v/>
      </c>
      <c r="BT57" s="532" t="str">
        <f t="shared" si="27"/>
        <v/>
      </c>
      <c r="BU57" s="532" t="str">
        <f t="shared" si="28"/>
        <v/>
      </c>
      <c r="BV57" s="532" t="str">
        <f t="shared" si="9"/>
        <v/>
      </c>
      <c r="BW57" s="532" t="str">
        <f t="shared" si="10"/>
        <v/>
      </c>
      <c r="BX57" s="532" t="str">
        <f t="shared" si="11"/>
        <v/>
      </c>
      <c r="BY57" s="532" t="str">
        <f t="shared" si="11"/>
        <v/>
      </c>
      <c r="BZ57" s="532" t="str">
        <f t="shared" si="11"/>
        <v/>
      </c>
      <c r="CA57" s="532" t="str">
        <f t="shared" si="29"/>
        <v/>
      </c>
      <c r="CB57" s="532" t="str">
        <f t="shared" si="12"/>
        <v/>
      </c>
      <c r="CC57" s="532" t="str">
        <f t="shared" si="30"/>
        <v/>
      </c>
      <c r="CD57" s="532" t="str">
        <f t="shared" si="31"/>
        <v/>
      </c>
      <c r="CE57" s="532" t="str">
        <f t="shared" si="13"/>
        <v/>
      </c>
      <c r="CF57" s="533" t="str">
        <f t="shared" si="14"/>
        <v/>
      </c>
      <c r="CG57" s="534" t="str">
        <f t="shared" si="32"/>
        <v/>
      </c>
      <c r="CH57" s="424"/>
      <c r="CI57" s="531" t="str">
        <f t="shared" si="33"/>
        <v/>
      </c>
      <c r="CJ57" s="534" t="str">
        <f t="shared" si="34"/>
        <v/>
      </c>
      <c r="CK57" s="424"/>
      <c r="CL57" s="531" t="str">
        <f t="shared" si="35"/>
        <v/>
      </c>
      <c r="CM57" s="534" t="str">
        <f t="shared" si="36"/>
        <v/>
      </c>
      <c r="CN57" s="424"/>
      <c r="CO57" s="531" t="str">
        <f t="shared" si="15"/>
        <v/>
      </c>
      <c r="CP57" s="532" t="str">
        <f t="shared" si="16"/>
        <v/>
      </c>
      <c r="CQ57" s="534" t="str">
        <f t="shared" si="17"/>
        <v/>
      </c>
      <c r="CR57" s="424"/>
      <c r="CS57" s="531" t="str">
        <f t="shared" si="18"/>
        <v/>
      </c>
      <c r="CT57" s="532" t="str">
        <f t="shared" si="19"/>
        <v/>
      </c>
      <c r="CU57" s="534" t="str">
        <f t="shared" si="20"/>
        <v/>
      </c>
      <c r="CW57" s="535" t="str">
        <f t="shared" si="37"/>
        <v/>
      </c>
      <c r="CX57" s="536">
        <f t="shared" si="38"/>
        <v>0</v>
      </c>
    </row>
    <row r="58" spans="2:102" s="410" customFormat="1" x14ac:dyDescent="0.2">
      <c r="B58" s="169">
        <v>32</v>
      </c>
      <c r="C58" s="517"/>
      <c r="D58" s="518"/>
      <c r="E58" s="519"/>
      <c r="F58" s="518"/>
      <c r="G58" s="518"/>
      <c r="H58" s="518"/>
      <c r="I58" s="518"/>
      <c r="J58" s="519"/>
      <c r="K58" s="520"/>
      <c r="L58" s="520"/>
      <c r="M58" s="520"/>
      <c r="N58" s="521" t="str">
        <f t="shared" si="21"/>
        <v/>
      </c>
      <c r="O58" s="522"/>
      <c r="P58" s="522"/>
      <c r="Q58" s="520"/>
      <c r="R58" s="522"/>
      <c r="S58" s="522"/>
      <c r="T58" s="523"/>
      <c r="U58" s="522"/>
      <c r="V58" s="519"/>
      <c r="W58" s="522"/>
      <c r="X58" s="523"/>
      <c r="Y58" s="522"/>
      <c r="Z58" s="522"/>
      <c r="AA58" s="522"/>
      <c r="AB58" s="522"/>
      <c r="AC58" s="524"/>
      <c r="AD58" s="525"/>
      <c r="AE58" s="525"/>
      <c r="AF58" s="522"/>
      <c r="AG58" s="522"/>
      <c r="AH58" s="522"/>
      <c r="AI58" s="522"/>
      <c r="AJ58" s="522"/>
      <c r="AK58" s="522"/>
      <c r="AL58" s="522"/>
      <c r="AM58" s="526"/>
      <c r="AN58" s="506"/>
      <c r="AO58" s="527" t="str">
        <f t="shared" si="0"/>
        <v/>
      </c>
      <c r="AP58" s="528" t="str">
        <f t="shared" si="22"/>
        <v/>
      </c>
      <c r="AQ58" s="506"/>
      <c r="AR58" s="527" t="str">
        <f t="shared" si="1"/>
        <v/>
      </c>
      <c r="AS58" s="528" t="str">
        <f t="shared" si="23"/>
        <v/>
      </c>
      <c r="AT58" s="506"/>
      <c r="AU58" s="506"/>
      <c r="AV58" s="494"/>
      <c r="AW58" s="169">
        <v>32</v>
      </c>
      <c r="AX58" s="529"/>
      <c r="AY58" s="522"/>
      <c r="AZ58" s="524"/>
      <c r="BA58" s="524"/>
      <c r="BB58" s="524"/>
      <c r="BC58" s="524"/>
      <c r="BD58" s="524"/>
      <c r="BE58" s="524"/>
      <c r="BF58" s="524"/>
      <c r="BG58" s="530"/>
      <c r="BH58" s="424"/>
      <c r="BI58" s="424"/>
      <c r="BJ58" s="531" t="str">
        <f t="shared" si="2"/>
        <v/>
      </c>
      <c r="BK58" s="532" t="str">
        <f t="shared" si="3"/>
        <v/>
      </c>
      <c r="BL58" s="532" t="str">
        <f t="shared" si="24"/>
        <v/>
      </c>
      <c r="BM58" s="532" t="str">
        <f t="shared" si="25"/>
        <v/>
      </c>
      <c r="BN58" s="532" t="str">
        <f t="shared" si="26"/>
        <v/>
      </c>
      <c r="BO58" s="532" t="str">
        <f t="shared" si="4"/>
        <v/>
      </c>
      <c r="BP58" s="532" t="str">
        <f t="shared" si="5"/>
        <v/>
      </c>
      <c r="BQ58" s="532" t="str">
        <f t="shared" si="6"/>
        <v/>
      </c>
      <c r="BR58" s="532" t="str">
        <f t="shared" si="7"/>
        <v/>
      </c>
      <c r="BS58" s="532" t="str">
        <f t="shared" si="8"/>
        <v/>
      </c>
      <c r="BT58" s="532" t="str">
        <f t="shared" si="27"/>
        <v/>
      </c>
      <c r="BU58" s="532" t="str">
        <f t="shared" si="28"/>
        <v/>
      </c>
      <c r="BV58" s="532" t="str">
        <f t="shared" si="9"/>
        <v/>
      </c>
      <c r="BW58" s="532" t="str">
        <f t="shared" si="10"/>
        <v/>
      </c>
      <c r="BX58" s="532" t="str">
        <f t="shared" si="11"/>
        <v/>
      </c>
      <c r="BY58" s="532" t="str">
        <f t="shared" si="11"/>
        <v/>
      </c>
      <c r="BZ58" s="532" t="str">
        <f t="shared" si="11"/>
        <v/>
      </c>
      <c r="CA58" s="532" t="str">
        <f t="shared" si="29"/>
        <v/>
      </c>
      <c r="CB58" s="532" t="str">
        <f t="shared" si="12"/>
        <v/>
      </c>
      <c r="CC58" s="532" t="str">
        <f t="shared" si="30"/>
        <v/>
      </c>
      <c r="CD58" s="532" t="str">
        <f t="shared" si="31"/>
        <v/>
      </c>
      <c r="CE58" s="532" t="str">
        <f t="shared" si="13"/>
        <v/>
      </c>
      <c r="CF58" s="533" t="str">
        <f t="shared" si="14"/>
        <v/>
      </c>
      <c r="CG58" s="534" t="str">
        <f t="shared" si="32"/>
        <v/>
      </c>
      <c r="CH58" s="424"/>
      <c r="CI58" s="531" t="str">
        <f t="shared" si="33"/>
        <v/>
      </c>
      <c r="CJ58" s="534" t="str">
        <f t="shared" si="34"/>
        <v/>
      </c>
      <c r="CK58" s="424"/>
      <c r="CL58" s="531" t="str">
        <f t="shared" si="35"/>
        <v/>
      </c>
      <c r="CM58" s="534" t="str">
        <f t="shared" si="36"/>
        <v/>
      </c>
      <c r="CN58" s="424"/>
      <c r="CO58" s="531" t="str">
        <f t="shared" si="15"/>
        <v/>
      </c>
      <c r="CP58" s="532" t="str">
        <f t="shared" si="16"/>
        <v/>
      </c>
      <c r="CQ58" s="534" t="str">
        <f t="shared" si="17"/>
        <v/>
      </c>
      <c r="CR58" s="424"/>
      <c r="CS58" s="531" t="str">
        <f t="shared" si="18"/>
        <v/>
      </c>
      <c r="CT58" s="532" t="str">
        <f t="shared" si="19"/>
        <v/>
      </c>
      <c r="CU58" s="534" t="str">
        <f t="shared" si="20"/>
        <v/>
      </c>
      <c r="CW58" s="535" t="str">
        <f t="shared" si="37"/>
        <v/>
      </c>
      <c r="CX58" s="536">
        <f t="shared" si="38"/>
        <v>0</v>
      </c>
    </row>
    <row r="59" spans="2:102" s="410" customFormat="1" x14ac:dyDescent="0.2">
      <c r="B59" s="169">
        <v>33</v>
      </c>
      <c r="C59" s="517"/>
      <c r="D59" s="518"/>
      <c r="E59" s="519"/>
      <c r="F59" s="518"/>
      <c r="G59" s="518"/>
      <c r="H59" s="518"/>
      <c r="I59" s="518"/>
      <c r="J59" s="519"/>
      <c r="K59" s="520"/>
      <c r="L59" s="520"/>
      <c r="M59" s="520"/>
      <c r="N59" s="521" t="str">
        <f t="shared" si="21"/>
        <v/>
      </c>
      <c r="O59" s="522"/>
      <c r="P59" s="522"/>
      <c r="Q59" s="520"/>
      <c r="R59" s="522"/>
      <c r="S59" s="522"/>
      <c r="T59" s="523"/>
      <c r="U59" s="522"/>
      <c r="V59" s="519"/>
      <c r="W59" s="522"/>
      <c r="X59" s="523"/>
      <c r="Y59" s="522"/>
      <c r="Z59" s="522"/>
      <c r="AA59" s="522"/>
      <c r="AB59" s="522"/>
      <c r="AC59" s="524"/>
      <c r="AD59" s="525"/>
      <c r="AE59" s="525"/>
      <c r="AF59" s="522"/>
      <c r="AG59" s="522"/>
      <c r="AH59" s="522"/>
      <c r="AI59" s="522"/>
      <c r="AJ59" s="522"/>
      <c r="AK59" s="522"/>
      <c r="AL59" s="522"/>
      <c r="AM59" s="526"/>
      <c r="AN59" s="506"/>
      <c r="AO59" s="527" t="str">
        <f t="shared" si="0"/>
        <v/>
      </c>
      <c r="AP59" s="528" t="str">
        <f t="shared" si="22"/>
        <v/>
      </c>
      <c r="AQ59" s="506"/>
      <c r="AR59" s="527" t="str">
        <f t="shared" si="1"/>
        <v/>
      </c>
      <c r="AS59" s="528" t="str">
        <f t="shared" si="23"/>
        <v/>
      </c>
      <c r="AT59" s="506"/>
      <c r="AU59" s="506"/>
      <c r="AV59" s="494"/>
      <c r="AW59" s="169">
        <v>33</v>
      </c>
      <c r="AX59" s="529"/>
      <c r="AY59" s="522"/>
      <c r="AZ59" s="524"/>
      <c r="BA59" s="524"/>
      <c r="BB59" s="524"/>
      <c r="BC59" s="524"/>
      <c r="BD59" s="524"/>
      <c r="BE59" s="524"/>
      <c r="BF59" s="524"/>
      <c r="BG59" s="530"/>
      <c r="BH59" s="424"/>
      <c r="BI59" s="424"/>
      <c r="BJ59" s="531" t="str">
        <f t="shared" si="2"/>
        <v/>
      </c>
      <c r="BK59" s="532" t="str">
        <f t="shared" si="3"/>
        <v/>
      </c>
      <c r="BL59" s="532" t="str">
        <f t="shared" si="24"/>
        <v/>
      </c>
      <c r="BM59" s="532" t="str">
        <f t="shared" si="25"/>
        <v/>
      </c>
      <c r="BN59" s="532" t="str">
        <f t="shared" si="26"/>
        <v/>
      </c>
      <c r="BO59" s="532" t="str">
        <f t="shared" si="4"/>
        <v/>
      </c>
      <c r="BP59" s="532" t="str">
        <f t="shared" si="5"/>
        <v/>
      </c>
      <c r="BQ59" s="532" t="str">
        <f t="shared" si="6"/>
        <v/>
      </c>
      <c r="BR59" s="532" t="str">
        <f t="shared" si="7"/>
        <v/>
      </c>
      <c r="BS59" s="532" t="str">
        <f t="shared" si="8"/>
        <v/>
      </c>
      <c r="BT59" s="532" t="str">
        <f t="shared" si="27"/>
        <v/>
      </c>
      <c r="BU59" s="532" t="str">
        <f t="shared" si="28"/>
        <v/>
      </c>
      <c r="BV59" s="532" t="str">
        <f t="shared" si="9"/>
        <v/>
      </c>
      <c r="BW59" s="532" t="str">
        <f t="shared" si="10"/>
        <v/>
      </c>
      <c r="BX59" s="532" t="str">
        <f t="shared" ref="BX59:BZ90" si="39">IF($C59="","",IF(AI59="","ERROR",AI59))</f>
        <v/>
      </c>
      <c r="BY59" s="532" t="str">
        <f t="shared" si="39"/>
        <v/>
      </c>
      <c r="BZ59" s="532" t="str">
        <f t="shared" si="39"/>
        <v/>
      </c>
      <c r="CA59" s="532" t="str">
        <f t="shared" si="29"/>
        <v/>
      </c>
      <c r="CB59" s="532" t="str">
        <f t="shared" si="12"/>
        <v/>
      </c>
      <c r="CC59" s="532" t="str">
        <f t="shared" si="30"/>
        <v/>
      </c>
      <c r="CD59" s="532" t="str">
        <f t="shared" si="31"/>
        <v/>
      </c>
      <c r="CE59" s="532" t="str">
        <f t="shared" si="13"/>
        <v/>
      </c>
      <c r="CF59" s="533" t="str">
        <f t="shared" si="14"/>
        <v/>
      </c>
      <c r="CG59" s="534" t="str">
        <f t="shared" si="32"/>
        <v/>
      </c>
      <c r="CH59" s="424"/>
      <c r="CI59" s="531" t="str">
        <f t="shared" si="33"/>
        <v/>
      </c>
      <c r="CJ59" s="534" t="str">
        <f t="shared" si="34"/>
        <v/>
      </c>
      <c r="CK59" s="424"/>
      <c r="CL59" s="531" t="str">
        <f t="shared" si="35"/>
        <v/>
      </c>
      <c r="CM59" s="534" t="str">
        <f t="shared" si="36"/>
        <v/>
      </c>
      <c r="CN59" s="424"/>
      <c r="CO59" s="531" t="str">
        <f t="shared" si="15"/>
        <v/>
      </c>
      <c r="CP59" s="532" t="str">
        <f t="shared" si="16"/>
        <v/>
      </c>
      <c r="CQ59" s="534" t="str">
        <f t="shared" si="17"/>
        <v/>
      </c>
      <c r="CR59" s="424"/>
      <c r="CS59" s="531" t="str">
        <f t="shared" si="18"/>
        <v/>
      </c>
      <c r="CT59" s="532" t="str">
        <f t="shared" si="19"/>
        <v/>
      </c>
      <c r="CU59" s="534" t="str">
        <f t="shared" si="20"/>
        <v/>
      </c>
      <c r="CW59" s="535" t="str">
        <f t="shared" si="37"/>
        <v/>
      </c>
      <c r="CX59" s="536">
        <f t="shared" si="38"/>
        <v>0</v>
      </c>
    </row>
    <row r="60" spans="2:102" s="410" customFormat="1" x14ac:dyDescent="0.2">
      <c r="B60" s="169">
        <v>34</v>
      </c>
      <c r="C60" s="517"/>
      <c r="D60" s="518"/>
      <c r="E60" s="519"/>
      <c r="F60" s="518"/>
      <c r="G60" s="518"/>
      <c r="H60" s="518"/>
      <c r="I60" s="518"/>
      <c r="J60" s="519"/>
      <c r="K60" s="520"/>
      <c r="L60" s="520"/>
      <c r="M60" s="520"/>
      <c r="N60" s="521" t="str">
        <f t="shared" si="21"/>
        <v/>
      </c>
      <c r="O60" s="522"/>
      <c r="P60" s="522"/>
      <c r="Q60" s="520"/>
      <c r="R60" s="522"/>
      <c r="S60" s="522"/>
      <c r="T60" s="523"/>
      <c r="U60" s="522"/>
      <c r="V60" s="519"/>
      <c r="W60" s="522"/>
      <c r="X60" s="523"/>
      <c r="Y60" s="522"/>
      <c r="Z60" s="522"/>
      <c r="AA60" s="522"/>
      <c r="AB60" s="522"/>
      <c r="AC60" s="524"/>
      <c r="AD60" s="525"/>
      <c r="AE60" s="525"/>
      <c r="AF60" s="522"/>
      <c r="AG60" s="522"/>
      <c r="AH60" s="522"/>
      <c r="AI60" s="522"/>
      <c r="AJ60" s="522"/>
      <c r="AK60" s="522"/>
      <c r="AL60" s="522"/>
      <c r="AM60" s="526"/>
      <c r="AN60" s="506"/>
      <c r="AO60" s="527" t="str">
        <f t="shared" si="0"/>
        <v/>
      </c>
      <c r="AP60" s="528" t="str">
        <f t="shared" si="22"/>
        <v/>
      </c>
      <c r="AQ60" s="506"/>
      <c r="AR60" s="527" t="str">
        <f t="shared" si="1"/>
        <v/>
      </c>
      <c r="AS60" s="528" t="str">
        <f t="shared" si="23"/>
        <v/>
      </c>
      <c r="AT60" s="506"/>
      <c r="AU60" s="506"/>
      <c r="AV60" s="494"/>
      <c r="AW60" s="169">
        <v>34</v>
      </c>
      <c r="AX60" s="529"/>
      <c r="AY60" s="522"/>
      <c r="AZ60" s="524"/>
      <c r="BA60" s="524"/>
      <c r="BB60" s="524"/>
      <c r="BC60" s="524"/>
      <c r="BD60" s="524"/>
      <c r="BE60" s="524"/>
      <c r="BF60" s="524"/>
      <c r="BG60" s="530"/>
      <c r="BH60" s="424"/>
      <c r="BI60" s="424"/>
      <c r="BJ60" s="531" t="str">
        <f t="shared" si="2"/>
        <v/>
      </c>
      <c r="BK60" s="532" t="str">
        <f t="shared" si="3"/>
        <v/>
      </c>
      <c r="BL60" s="532" t="str">
        <f t="shared" si="24"/>
        <v/>
      </c>
      <c r="BM60" s="532" t="str">
        <f t="shared" si="25"/>
        <v/>
      </c>
      <c r="BN60" s="532" t="str">
        <f t="shared" si="26"/>
        <v/>
      </c>
      <c r="BO60" s="532" t="str">
        <f t="shared" si="4"/>
        <v/>
      </c>
      <c r="BP60" s="532" t="str">
        <f t="shared" si="5"/>
        <v/>
      </c>
      <c r="BQ60" s="532" t="str">
        <f t="shared" si="6"/>
        <v/>
      </c>
      <c r="BR60" s="532" t="str">
        <f t="shared" si="7"/>
        <v/>
      </c>
      <c r="BS60" s="532" t="str">
        <f t="shared" si="8"/>
        <v/>
      </c>
      <c r="BT60" s="532" t="str">
        <f t="shared" si="27"/>
        <v/>
      </c>
      <c r="BU60" s="532" t="str">
        <f t="shared" si="28"/>
        <v/>
      </c>
      <c r="BV60" s="532" t="str">
        <f t="shared" si="9"/>
        <v/>
      </c>
      <c r="BW60" s="532" t="str">
        <f t="shared" si="10"/>
        <v/>
      </c>
      <c r="BX60" s="532" t="str">
        <f t="shared" si="39"/>
        <v/>
      </c>
      <c r="BY60" s="532" t="str">
        <f t="shared" si="39"/>
        <v/>
      </c>
      <c r="BZ60" s="532" t="str">
        <f t="shared" si="39"/>
        <v/>
      </c>
      <c r="CA60" s="532" t="str">
        <f t="shared" si="29"/>
        <v/>
      </c>
      <c r="CB60" s="532" t="str">
        <f t="shared" si="12"/>
        <v/>
      </c>
      <c r="CC60" s="532" t="str">
        <f t="shared" si="30"/>
        <v/>
      </c>
      <c r="CD60" s="532" t="str">
        <f t="shared" si="31"/>
        <v/>
      </c>
      <c r="CE60" s="532" t="str">
        <f t="shared" si="13"/>
        <v/>
      </c>
      <c r="CF60" s="533" t="str">
        <f t="shared" si="14"/>
        <v/>
      </c>
      <c r="CG60" s="534" t="str">
        <f t="shared" si="32"/>
        <v/>
      </c>
      <c r="CH60" s="424"/>
      <c r="CI60" s="531" t="str">
        <f t="shared" si="33"/>
        <v/>
      </c>
      <c r="CJ60" s="534" t="str">
        <f t="shared" si="34"/>
        <v/>
      </c>
      <c r="CK60" s="424"/>
      <c r="CL60" s="531" t="str">
        <f t="shared" si="35"/>
        <v/>
      </c>
      <c r="CM60" s="534" t="str">
        <f t="shared" si="36"/>
        <v/>
      </c>
      <c r="CN60" s="424"/>
      <c r="CO60" s="531" t="str">
        <f t="shared" si="15"/>
        <v/>
      </c>
      <c r="CP60" s="532" t="str">
        <f t="shared" si="16"/>
        <v/>
      </c>
      <c r="CQ60" s="534" t="str">
        <f t="shared" si="17"/>
        <v/>
      </c>
      <c r="CR60" s="424"/>
      <c r="CS60" s="531" t="str">
        <f t="shared" si="18"/>
        <v/>
      </c>
      <c r="CT60" s="532" t="str">
        <f t="shared" si="19"/>
        <v/>
      </c>
      <c r="CU60" s="534" t="str">
        <f t="shared" si="20"/>
        <v/>
      </c>
      <c r="CW60" s="535" t="str">
        <f t="shared" si="37"/>
        <v/>
      </c>
      <c r="CX60" s="536">
        <f t="shared" si="38"/>
        <v>0</v>
      </c>
    </row>
    <row r="61" spans="2:102" s="410" customFormat="1" x14ac:dyDescent="0.2">
      <c r="B61" s="169">
        <v>35</v>
      </c>
      <c r="C61" s="517"/>
      <c r="D61" s="518"/>
      <c r="E61" s="519"/>
      <c r="F61" s="518"/>
      <c r="G61" s="518"/>
      <c r="H61" s="518"/>
      <c r="I61" s="518"/>
      <c r="J61" s="519"/>
      <c r="K61" s="520"/>
      <c r="L61" s="520"/>
      <c r="M61" s="520"/>
      <c r="N61" s="521" t="str">
        <f t="shared" si="21"/>
        <v/>
      </c>
      <c r="O61" s="522"/>
      <c r="P61" s="522"/>
      <c r="Q61" s="520"/>
      <c r="R61" s="522"/>
      <c r="S61" s="522"/>
      <c r="T61" s="523"/>
      <c r="U61" s="522"/>
      <c r="V61" s="519"/>
      <c r="W61" s="522"/>
      <c r="X61" s="523"/>
      <c r="Y61" s="522"/>
      <c r="Z61" s="522"/>
      <c r="AA61" s="522"/>
      <c r="AB61" s="522"/>
      <c r="AC61" s="524"/>
      <c r="AD61" s="525"/>
      <c r="AE61" s="525"/>
      <c r="AF61" s="522"/>
      <c r="AG61" s="522"/>
      <c r="AH61" s="522"/>
      <c r="AI61" s="522"/>
      <c r="AJ61" s="522"/>
      <c r="AK61" s="522"/>
      <c r="AL61" s="522"/>
      <c r="AM61" s="526"/>
      <c r="AN61" s="506"/>
      <c r="AO61" s="527" t="str">
        <f t="shared" si="0"/>
        <v/>
      </c>
      <c r="AP61" s="528" t="str">
        <f t="shared" si="22"/>
        <v/>
      </c>
      <c r="AQ61" s="506"/>
      <c r="AR61" s="527" t="str">
        <f t="shared" si="1"/>
        <v/>
      </c>
      <c r="AS61" s="528" t="str">
        <f t="shared" si="23"/>
        <v/>
      </c>
      <c r="AT61" s="506"/>
      <c r="AU61" s="506"/>
      <c r="AV61" s="494"/>
      <c r="AW61" s="169">
        <v>35</v>
      </c>
      <c r="AX61" s="529"/>
      <c r="AY61" s="522"/>
      <c r="AZ61" s="524"/>
      <c r="BA61" s="524"/>
      <c r="BB61" s="524"/>
      <c r="BC61" s="524"/>
      <c r="BD61" s="524"/>
      <c r="BE61" s="524"/>
      <c r="BF61" s="524"/>
      <c r="BG61" s="530"/>
      <c r="BH61" s="424"/>
      <c r="BI61" s="424"/>
      <c r="BJ61" s="531" t="str">
        <f t="shared" si="2"/>
        <v/>
      </c>
      <c r="BK61" s="532" t="str">
        <f t="shared" si="3"/>
        <v/>
      </c>
      <c r="BL61" s="532" t="str">
        <f t="shared" si="24"/>
        <v/>
      </c>
      <c r="BM61" s="532" t="str">
        <f t="shared" si="25"/>
        <v/>
      </c>
      <c r="BN61" s="532" t="str">
        <f t="shared" si="26"/>
        <v/>
      </c>
      <c r="BO61" s="532" t="str">
        <f t="shared" si="4"/>
        <v/>
      </c>
      <c r="BP61" s="532" t="str">
        <f t="shared" si="5"/>
        <v/>
      </c>
      <c r="BQ61" s="532" t="str">
        <f t="shared" si="6"/>
        <v/>
      </c>
      <c r="BR61" s="532" t="str">
        <f t="shared" si="7"/>
        <v/>
      </c>
      <c r="BS61" s="532" t="str">
        <f t="shared" si="8"/>
        <v/>
      </c>
      <c r="BT61" s="532" t="str">
        <f t="shared" si="27"/>
        <v/>
      </c>
      <c r="BU61" s="532" t="str">
        <f t="shared" si="28"/>
        <v/>
      </c>
      <c r="BV61" s="532" t="str">
        <f t="shared" si="9"/>
        <v/>
      </c>
      <c r="BW61" s="532" t="str">
        <f t="shared" si="10"/>
        <v/>
      </c>
      <c r="BX61" s="532" t="str">
        <f t="shared" si="39"/>
        <v/>
      </c>
      <c r="BY61" s="532" t="str">
        <f t="shared" si="39"/>
        <v/>
      </c>
      <c r="BZ61" s="532" t="str">
        <f t="shared" si="39"/>
        <v/>
      </c>
      <c r="CA61" s="532" t="str">
        <f t="shared" si="29"/>
        <v/>
      </c>
      <c r="CB61" s="532" t="str">
        <f t="shared" si="12"/>
        <v/>
      </c>
      <c r="CC61" s="532" t="str">
        <f t="shared" si="30"/>
        <v/>
      </c>
      <c r="CD61" s="532" t="str">
        <f t="shared" si="31"/>
        <v/>
      </c>
      <c r="CE61" s="532" t="str">
        <f t="shared" si="13"/>
        <v/>
      </c>
      <c r="CF61" s="533" t="str">
        <f t="shared" si="14"/>
        <v/>
      </c>
      <c r="CG61" s="534" t="str">
        <f t="shared" si="32"/>
        <v/>
      </c>
      <c r="CH61" s="424"/>
      <c r="CI61" s="531" t="str">
        <f t="shared" si="33"/>
        <v/>
      </c>
      <c r="CJ61" s="534" t="str">
        <f t="shared" si="34"/>
        <v/>
      </c>
      <c r="CK61" s="424"/>
      <c r="CL61" s="531" t="str">
        <f t="shared" si="35"/>
        <v/>
      </c>
      <c r="CM61" s="534" t="str">
        <f t="shared" si="36"/>
        <v/>
      </c>
      <c r="CN61" s="424"/>
      <c r="CO61" s="531" t="str">
        <f t="shared" si="15"/>
        <v/>
      </c>
      <c r="CP61" s="532" t="str">
        <f t="shared" si="16"/>
        <v/>
      </c>
      <c r="CQ61" s="534" t="str">
        <f t="shared" si="17"/>
        <v/>
      </c>
      <c r="CR61" s="424"/>
      <c r="CS61" s="531" t="str">
        <f t="shared" si="18"/>
        <v/>
      </c>
      <c r="CT61" s="532" t="str">
        <f t="shared" si="19"/>
        <v/>
      </c>
      <c r="CU61" s="534" t="str">
        <f t="shared" si="20"/>
        <v/>
      </c>
      <c r="CW61" s="535" t="str">
        <f t="shared" si="37"/>
        <v/>
      </c>
      <c r="CX61" s="536">
        <f t="shared" si="38"/>
        <v>0</v>
      </c>
    </row>
    <row r="62" spans="2:102" s="410" customFormat="1" x14ac:dyDescent="0.2">
      <c r="B62" s="169">
        <v>36</v>
      </c>
      <c r="C62" s="517"/>
      <c r="D62" s="518"/>
      <c r="E62" s="519"/>
      <c r="F62" s="518"/>
      <c r="G62" s="518"/>
      <c r="H62" s="518"/>
      <c r="I62" s="518"/>
      <c r="J62" s="519"/>
      <c r="K62" s="520"/>
      <c r="L62" s="520"/>
      <c r="M62" s="520"/>
      <c r="N62" s="521" t="str">
        <f t="shared" si="21"/>
        <v/>
      </c>
      <c r="O62" s="522"/>
      <c r="P62" s="522"/>
      <c r="Q62" s="520"/>
      <c r="R62" s="522"/>
      <c r="S62" s="522"/>
      <c r="T62" s="523"/>
      <c r="U62" s="522"/>
      <c r="V62" s="519"/>
      <c r="W62" s="522"/>
      <c r="X62" s="523"/>
      <c r="Y62" s="522"/>
      <c r="Z62" s="522"/>
      <c r="AA62" s="522"/>
      <c r="AB62" s="522"/>
      <c r="AC62" s="524"/>
      <c r="AD62" s="525"/>
      <c r="AE62" s="525"/>
      <c r="AF62" s="522"/>
      <c r="AG62" s="522"/>
      <c r="AH62" s="522"/>
      <c r="AI62" s="522"/>
      <c r="AJ62" s="522"/>
      <c r="AK62" s="522"/>
      <c r="AL62" s="522"/>
      <c r="AM62" s="526"/>
      <c r="AN62" s="506"/>
      <c r="AO62" s="527" t="str">
        <f t="shared" si="0"/>
        <v/>
      </c>
      <c r="AP62" s="528" t="str">
        <f t="shared" si="22"/>
        <v/>
      </c>
      <c r="AQ62" s="506"/>
      <c r="AR62" s="527" t="str">
        <f t="shared" si="1"/>
        <v/>
      </c>
      <c r="AS62" s="528" t="str">
        <f t="shared" si="23"/>
        <v/>
      </c>
      <c r="AT62" s="506"/>
      <c r="AU62" s="506"/>
      <c r="AV62" s="494"/>
      <c r="AW62" s="169">
        <v>36</v>
      </c>
      <c r="AX62" s="529"/>
      <c r="AY62" s="522"/>
      <c r="AZ62" s="524"/>
      <c r="BA62" s="524"/>
      <c r="BB62" s="524"/>
      <c r="BC62" s="524"/>
      <c r="BD62" s="524"/>
      <c r="BE62" s="524"/>
      <c r="BF62" s="524"/>
      <c r="BG62" s="530"/>
      <c r="BH62" s="424"/>
      <c r="BI62" s="424"/>
      <c r="BJ62" s="531" t="str">
        <f t="shared" si="2"/>
        <v/>
      </c>
      <c r="BK62" s="532" t="str">
        <f t="shared" si="3"/>
        <v/>
      </c>
      <c r="BL62" s="532" t="str">
        <f t="shared" si="24"/>
        <v/>
      </c>
      <c r="BM62" s="532" t="str">
        <f t="shared" si="25"/>
        <v/>
      </c>
      <c r="BN62" s="532" t="str">
        <f t="shared" si="26"/>
        <v/>
      </c>
      <c r="BO62" s="532" t="str">
        <f t="shared" si="4"/>
        <v/>
      </c>
      <c r="BP62" s="532" t="str">
        <f t="shared" si="5"/>
        <v/>
      </c>
      <c r="BQ62" s="532" t="str">
        <f t="shared" si="6"/>
        <v/>
      </c>
      <c r="BR62" s="532" t="str">
        <f t="shared" si="7"/>
        <v/>
      </c>
      <c r="BS62" s="532" t="str">
        <f t="shared" si="8"/>
        <v/>
      </c>
      <c r="BT62" s="532" t="str">
        <f t="shared" si="27"/>
        <v/>
      </c>
      <c r="BU62" s="532" t="str">
        <f t="shared" si="28"/>
        <v/>
      </c>
      <c r="BV62" s="532" t="str">
        <f t="shared" si="9"/>
        <v/>
      </c>
      <c r="BW62" s="532" t="str">
        <f t="shared" si="10"/>
        <v/>
      </c>
      <c r="BX62" s="532" t="str">
        <f t="shared" si="39"/>
        <v/>
      </c>
      <c r="BY62" s="532" t="str">
        <f t="shared" si="39"/>
        <v/>
      </c>
      <c r="BZ62" s="532" t="str">
        <f t="shared" si="39"/>
        <v/>
      </c>
      <c r="CA62" s="532" t="str">
        <f t="shared" si="29"/>
        <v/>
      </c>
      <c r="CB62" s="532" t="str">
        <f t="shared" si="12"/>
        <v/>
      </c>
      <c r="CC62" s="532" t="str">
        <f t="shared" si="30"/>
        <v/>
      </c>
      <c r="CD62" s="532" t="str">
        <f t="shared" si="31"/>
        <v/>
      </c>
      <c r="CE62" s="532" t="str">
        <f t="shared" si="13"/>
        <v/>
      </c>
      <c r="CF62" s="533" t="str">
        <f t="shared" si="14"/>
        <v/>
      </c>
      <c r="CG62" s="534" t="str">
        <f t="shared" si="32"/>
        <v/>
      </c>
      <c r="CH62" s="424"/>
      <c r="CI62" s="531" t="str">
        <f t="shared" si="33"/>
        <v/>
      </c>
      <c r="CJ62" s="534" t="str">
        <f t="shared" si="34"/>
        <v/>
      </c>
      <c r="CK62" s="424"/>
      <c r="CL62" s="531" t="str">
        <f t="shared" si="35"/>
        <v/>
      </c>
      <c r="CM62" s="534" t="str">
        <f t="shared" si="36"/>
        <v/>
      </c>
      <c r="CN62" s="424"/>
      <c r="CO62" s="531" t="str">
        <f t="shared" si="15"/>
        <v/>
      </c>
      <c r="CP62" s="532" t="str">
        <f t="shared" si="16"/>
        <v/>
      </c>
      <c r="CQ62" s="534" t="str">
        <f t="shared" si="17"/>
        <v/>
      </c>
      <c r="CR62" s="424"/>
      <c r="CS62" s="531" t="str">
        <f t="shared" si="18"/>
        <v/>
      </c>
      <c r="CT62" s="532" t="str">
        <f t="shared" si="19"/>
        <v/>
      </c>
      <c r="CU62" s="534" t="str">
        <f t="shared" si="20"/>
        <v/>
      </c>
      <c r="CW62" s="535" t="str">
        <f t="shared" si="37"/>
        <v/>
      </c>
      <c r="CX62" s="536">
        <f t="shared" si="38"/>
        <v>0</v>
      </c>
    </row>
    <row r="63" spans="2:102" s="410" customFormat="1" x14ac:dyDescent="0.2">
      <c r="B63" s="169">
        <v>37</v>
      </c>
      <c r="C63" s="517"/>
      <c r="D63" s="518"/>
      <c r="E63" s="519"/>
      <c r="F63" s="518"/>
      <c r="G63" s="518"/>
      <c r="H63" s="518"/>
      <c r="I63" s="518"/>
      <c r="J63" s="519"/>
      <c r="K63" s="520"/>
      <c r="L63" s="520"/>
      <c r="M63" s="520"/>
      <c r="N63" s="521" t="str">
        <f t="shared" si="21"/>
        <v/>
      </c>
      <c r="O63" s="522"/>
      <c r="P63" s="522"/>
      <c r="Q63" s="520"/>
      <c r="R63" s="522"/>
      <c r="S63" s="522"/>
      <c r="T63" s="523"/>
      <c r="U63" s="522"/>
      <c r="V63" s="519"/>
      <c r="W63" s="522"/>
      <c r="X63" s="523"/>
      <c r="Y63" s="522"/>
      <c r="Z63" s="522"/>
      <c r="AA63" s="522"/>
      <c r="AB63" s="522"/>
      <c r="AC63" s="524"/>
      <c r="AD63" s="525"/>
      <c r="AE63" s="525"/>
      <c r="AF63" s="522"/>
      <c r="AG63" s="522"/>
      <c r="AH63" s="522"/>
      <c r="AI63" s="522"/>
      <c r="AJ63" s="522"/>
      <c r="AK63" s="522"/>
      <c r="AL63" s="522"/>
      <c r="AM63" s="526"/>
      <c r="AN63" s="506"/>
      <c r="AO63" s="527" t="str">
        <f t="shared" si="0"/>
        <v/>
      </c>
      <c r="AP63" s="528" t="str">
        <f t="shared" si="22"/>
        <v/>
      </c>
      <c r="AQ63" s="506"/>
      <c r="AR63" s="527" t="str">
        <f t="shared" si="1"/>
        <v/>
      </c>
      <c r="AS63" s="528" t="str">
        <f t="shared" si="23"/>
        <v/>
      </c>
      <c r="AT63" s="506"/>
      <c r="AU63" s="506"/>
      <c r="AV63" s="494"/>
      <c r="AW63" s="169">
        <v>37</v>
      </c>
      <c r="AX63" s="529"/>
      <c r="AY63" s="522"/>
      <c r="AZ63" s="524"/>
      <c r="BA63" s="524"/>
      <c r="BB63" s="524"/>
      <c r="BC63" s="524"/>
      <c r="BD63" s="524"/>
      <c r="BE63" s="524"/>
      <c r="BF63" s="524"/>
      <c r="BG63" s="530"/>
      <c r="BH63" s="424"/>
      <c r="BI63" s="424"/>
      <c r="BJ63" s="531" t="str">
        <f t="shared" si="2"/>
        <v/>
      </c>
      <c r="BK63" s="532" t="str">
        <f t="shared" si="3"/>
        <v/>
      </c>
      <c r="BL63" s="532" t="str">
        <f t="shared" si="24"/>
        <v/>
      </c>
      <c r="BM63" s="532" t="str">
        <f t="shared" si="25"/>
        <v/>
      </c>
      <c r="BN63" s="532" t="str">
        <f t="shared" si="26"/>
        <v/>
      </c>
      <c r="BO63" s="532" t="str">
        <f t="shared" si="4"/>
        <v/>
      </c>
      <c r="BP63" s="532" t="str">
        <f t="shared" si="5"/>
        <v/>
      </c>
      <c r="BQ63" s="532" t="str">
        <f t="shared" si="6"/>
        <v/>
      </c>
      <c r="BR63" s="532" t="str">
        <f t="shared" si="7"/>
        <v/>
      </c>
      <c r="BS63" s="532" t="str">
        <f t="shared" si="8"/>
        <v/>
      </c>
      <c r="BT63" s="532" t="str">
        <f t="shared" si="27"/>
        <v/>
      </c>
      <c r="BU63" s="532" t="str">
        <f t="shared" si="28"/>
        <v/>
      </c>
      <c r="BV63" s="532" t="str">
        <f t="shared" si="9"/>
        <v/>
      </c>
      <c r="BW63" s="532" t="str">
        <f t="shared" si="10"/>
        <v/>
      </c>
      <c r="BX63" s="532" t="str">
        <f t="shared" si="39"/>
        <v/>
      </c>
      <c r="BY63" s="532" t="str">
        <f t="shared" si="39"/>
        <v/>
      </c>
      <c r="BZ63" s="532" t="str">
        <f t="shared" si="39"/>
        <v/>
      </c>
      <c r="CA63" s="532" t="str">
        <f t="shared" si="29"/>
        <v/>
      </c>
      <c r="CB63" s="532" t="str">
        <f t="shared" si="12"/>
        <v/>
      </c>
      <c r="CC63" s="532" t="str">
        <f t="shared" si="30"/>
        <v/>
      </c>
      <c r="CD63" s="532" t="str">
        <f t="shared" si="31"/>
        <v/>
      </c>
      <c r="CE63" s="532" t="str">
        <f t="shared" si="13"/>
        <v/>
      </c>
      <c r="CF63" s="533" t="str">
        <f t="shared" si="14"/>
        <v/>
      </c>
      <c r="CG63" s="534" t="str">
        <f t="shared" si="32"/>
        <v/>
      </c>
      <c r="CH63" s="424"/>
      <c r="CI63" s="531" t="str">
        <f t="shared" si="33"/>
        <v/>
      </c>
      <c r="CJ63" s="534" t="str">
        <f t="shared" si="34"/>
        <v/>
      </c>
      <c r="CK63" s="424"/>
      <c r="CL63" s="531" t="str">
        <f t="shared" si="35"/>
        <v/>
      </c>
      <c r="CM63" s="534" t="str">
        <f t="shared" si="36"/>
        <v/>
      </c>
      <c r="CN63" s="424"/>
      <c r="CO63" s="531" t="str">
        <f t="shared" si="15"/>
        <v/>
      </c>
      <c r="CP63" s="532" t="str">
        <f t="shared" si="16"/>
        <v/>
      </c>
      <c r="CQ63" s="534" t="str">
        <f t="shared" si="17"/>
        <v/>
      </c>
      <c r="CR63" s="424"/>
      <c r="CS63" s="531" t="str">
        <f t="shared" si="18"/>
        <v/>
      </c>
      <c r="CT63" s="532" t="str">
        <f t="shared" si="19"/>
        <v/>
      </c>
      <c r="CU63" s="534" t="str">
        <f t="shared" si="20"/>
        <v/>
      </c>
      <c r="CW63" s="535" t="str">
        <f t="shared" si="37"/>
        <v/>
      </c>
      <c r="CX63" s="536">
        <f t="shared" si="38"/>
        <v>0</v>
      </c>
    </row>
    <row r="64" spans="2:102" s="410" customFormat="1" x14ac:dyDescent="0.2">
      <c r="B64" s="169">
        <v>38</v>
      </c>
      <c r="C64" s="517"/>
      <c r="D64" s="518"/>
      <c r="E64" s="519"/>
      <c r="F64" s="518"/>
      <c r="G64" s="518"/>
      <c r="H64" s="518"/>
      <c r="I64" s="518"/>
      <c r="J64" s="519"/>
      <c r="K64" s="520"/>
      <c r="L64" s="520"/>
      <c r="M64" s="520"/>
      <c r="N64" s="521" t="str">
        <f t="shared" si="21"/>
        <v/>
      </c>
      <c r="O64" s="522"/>
      <c r="P64" s="522"/>
      <c r="Q64" s="520"/>
      <c r="R64" s="522"/>
      <c r="S64" s="522"/>
      <c r="T64" s="523"/>
      <c r="U64" s="522"/>
      <c r="V64" s="519"/>
      <c r="W64" s="522"/>
      <c r="X64" s="523"/>
      <c r="Y64" s="522"/>
      <c r="Z64" s="522"/>
      <c r="AA64" s="522"/>
      <c r="AB64" s="522"/>
      <c r="AC64" s="524"/>
      <c r="AD64" s="525"/>
      <c r="AE64" s="525"/>
      <c r="AF64" s="522"/>
      <c r="AG64" s="522"/>
      <c r="AH64" s="522"/>
      <c r="AI64" s="522"/>
      <c r="AJ64" s="522"/>
      <c r="AK64" s="522"/>
      <c r="AL64" s="522"/>
      <c r="AM64" s="526"/>
      <c r="AN64" s="506"/>
      <c r="AO64" s="527" t="str">
        <f t="shared" si="0"/>
        <v/>
      </c>
      <c r="AP64" s="528" t="str">
        <f t="shared" si="22"/>
        <v/>
      </c>
      <c r="AQ64" s="506"/>
      <c r="AR64" s="527" t="str">
        <f t="shared" si="1"/>
        <v/>
      </c>
      <c r="AS64" s="528" t="str">
        <f t="shared" si="23"/>
        <v/>
      </c>
      <c r="AT64" s="506"/>
      <c r="AU64" s="506"/>
      <c r="AV64" s="494"/>
      <c r="AW64" s="169">
        <v>38</v>
      </c>
      <c r="AX64" s="529"/>
      <c r="AY64" s="522"/>
      <c r="AZ64" s="524"/>
      <c r="BA64" s="524"/>
      <c r="BB64" s="524"/>
      <c r="BC64" s="524"/>
      <c r="BD64" s="524"/>
      <c r="BE64" s="524"/>
      <c r="BF64" s="524"/>
      <c r="BG64" s="530"/>
      <c r="BH64" s="424"/>
      <c r="BI64" s="424"/>
      <c r="BJ64" s="531" t="str">
        <f t="shared" si="2"/>
        <v/>
      </c>
      <c r="BK64" s="532" t="str">
        <f t="shared" si="3"/>
        <v/>
      </c>
      <c r="BL64" s="532" t="str">
        <f t="shared" si="24"/>
        <v/>
      </c>
      <c r="BM64" s="532" t="str">
        <f t="shared" si="25"/>
        <v/>
      </c>
      <c r="BN64" s="532" t="str">
        <f t="shared" si="26"/>
        <v/>
      </c>
      <c r="BO64" s="532" t="str">
        <f t="shared" si="4"/>
        <v/>
      </c>
      <c r="BP64" s="532" t="str">
        <f t="shared" si="5"/>
        <v/>
      </c>
      <c r="BQ64" s="532" t="str">
        <f t="shared" si="6"/>
        <v/>
      </c>
      <c r="BR64" s="532" t="str">
        <f t="shared" si="7"/>
        <v/>
      </c>
      <c r="BS64" s="532" t="str">
        <f t="shared" si="8"/>
        <v/>
      </c>
      <c r="BT64" s="532" t="str">
        <f t="shared" si="27"/>
        <v/>
      </c>
      <c r="BU64" s="532" t="str">
        <f t="shared" si="28"/>
        <v/>
      </c>
      <c r="BV64" s="532" t="str">
        <f t="shared" si="9"/>
        <v/>
      </c>
      <c r="BW64" s="532" t="str">
        <f t="shared" si="10"/>
        <v/>
      </c>
      <c r="BX64" s="532" t="str">
        <f t="shared" si="39"/>
        <v/>
      </c>
      <c r="BY64" s="532" t="str">
        <f t="shared" si="39"/>
        <v/>
      </c>
      <c r="BZ64" s="532" t="str">
        <f t="shared" si="39"/>
        <v/>
      </c>
      <c r="CA64" s="532" t="str">
        <f t="shared" si="29"/>
        <v/>
      </c>
      <c r="CB64" s="532" t="str">
        <f t="shared" si="12"/>
        <v/>
      </c>
      <c r="CC64" s="532" t="str">
        <f t="shared" si="30"/>
        <v/>
      </c>
      <c r="CD64" s="532" t="str">
        <f t="shared" si="31"/>
        <v/>
      </c>
      <c r="CE64" s="532" t="str">
        <f t="shared" si="13"/>
        <v/>
      </c>
      <c r="CF64" s="533" t="str">
        <f t="shared" si="14"/>
        <v/>
      </c>
      <c r="CG64" s="534" t="str">
        <f t="shared" si="32"/>
        <v/>
      </c>
      <c r="CH64" s="424"/>
      <c r="CI64" s="531" t="str">
        <f t="shared" si="33"/>
        <v/>
      </c>
      <c r="CJ64" s="534" t="str">
        <f t="shared" si="34"/>
        <v/>
      </c>
      <c r="CK64" s="424"/>
      <c r="CL64" s="531" t="str">
        <f t="shared" si="35"/>
        <v/>
      </c>
      <c r="CM64" s="534" t="str">
        <f t="shared" si="36"/>
        <v/>
      </c>
      <c r="CN64" s="424"/>
      <c r="CO64" s="531" t="str">
        <f t="shared" si="15"/>
        <v/>
      </c>
      <c r="CP64" s="532" t="str">
        <f t="shared" si="16"/>
        <v/>
      </c>
      <c r="CQ64" s="534" t="str">
        <f t="shared" si="17"/>
        <v/>
      </c>
      <c r="CR64" s="424"/>
      <c r="CS64" s="531" t="str">
        <f t="shared" si="18"/>
        <v/>
      </c>
      <c r="CT64" s="532" t="str">
        <f t="shared" si="19"/>
        <v/>
      </c>
      <c r="CU64" s="534" t="str">
        <f t="shared" si="20"/>
        <v/>
      </c>
      <c r="CW64" s="535" t="str">
        <f t="shared" si="37"/>
        <v/>
      </c>
      <c r="CX64" s="536">
        <f t="shared" si="38"/>
        <v>0</v>
      </c>
    </row>
    <row r="65" spans="2:102" s="410" customFormat="1" x14ac:dyDescent="0.2">
      <c r="B65" s="169">
        <v>39</v>
      </c>
      <c r="C65" s="517"/>
      <c r="D65" s="518"/>
      <c r="E65" s="519"/>
      <c r="F65" s="518"/>
      <c r="G65" s="518"/>
      <c r="H65" s="518"/>
      <c r="I65" s="518"/>
      <c r="J65" s="519"/>
      <c r="K65" s="520"/>
      <c r="L65" s="520"/>
      <c r="M65" s="520"/>
      <c r="N65" s="521" t="str">
        <f t="shared" si="21"/>
        <v/>
      </c>
      <c r="O65" s="522"/>
      <c r="P65" s="522"/>
      <c r="Q65" s="520"/>
      <c r="R65" s="522"/>
      <c r="S65" s="522"/>
      <c r="T65" s="523"/>
      <c r="U65" s="522"/>
      <c r="V65" s="519"/>
      <c r="W65" s="522"/>
      <c r="X65" s="523"/>
      <c r="Y65" s="522"/>
      <c r="Z65" s="522"/>
      <c r="AA65" s="522"/>
      <c r="AB65" s="522"/>
      <c r="AC65" s="524"/>
      <c r="AD65" s="525"/>
      <c r="AE65" s="525"/>
      <c r="AF65" s="522"/>
      <c r="AG65" s="522"/>
      <c r="AH65" s="522"/>
      <c r="AI65" s="522"/>
      <c r="AJ65" s="522"/>
      <c r="AK65" s="522"/>
      <c r="AL65" s="522"/>
      <c r="AM65" s="526"/>
      <c r="AN65" s="506"/>
      <c r="AO65" s="527" t="str">
        <f t="shared" si="0"/>
        <v/>
      </c>
      <c r="AP65" s="528" t="str">
        <f t="shared" si="22"/>
        <v/>
      </c>
      <c r="AQ65" s="506"/>
      <c r="AR65" s="527" t="str">
        <f t="shared" si="1"/>
        <v/>
      </c>
      <c r="AS65" s="528" t="str">
        <f t="shared" si="23"/>
        <v/>
      </c>
      <c r="AT65" s="506"/>
      <c r="AU65" s="506"/>
      <c r="AV65" s="494"/>
      <c r="AW65" s="169">
        <v>39</v>
      </c>
      <c r="AX65" s="529"/>
      <c r="AY65" s="522"/>
      <c r="AZ65" s="524"/>
      <c r="BA65" s="524"/>
      <c r="BB65" s="524"/>
      <c r="BC65" s="524"/>
      <c r="BD65" s="524"/>
      <c r="BE65" s="524"/>
      <c r="BF65" s="524"/>
      <c r="BG65" s="530"/>
      <c r="BH65" s="424"/>
      <c r="BI65" s="424"/>
      <c r="BJ65" s="531" t="str">
        <f t="shared" si="2"/>
        <v/>
      </c>
      <c r="BK65" s="532" t="str">
        <f t="shared" si="3"/>
        <v/>
      </c>
      <c r="BL65" s="532" t="str">
        <f t="shared" si="24"/>
        <v/>
      </c>
      <c r="BM65" s="532" t="str">
        <f t="shared" si="25"/>
        <v/>
      </c>
      <c r="BN65" s="532" t="str">
        <f t="shared" si="26"/>
        <v/>
      </c>
      <c r="BO65" s="532" t="str">
        <f t="shared" si="4"/>
        <v/>
      </c>
      <c r="BP65" s="532" t="str">
        <f t="shared" si="5"/>
        <v/>
      </c>
      <c r="BQ65" s="532" t="str">
        <f t="shared" si="6"/>
        <v/>
      </c>
      <c r="BR65" s="532" t="str">
        <f t="shared" si="7"/>
        <v/>
      </c>
      <c r="BS65" s="532" t="str">
        <f t="shared" si="8"/>
        <v/>
      </c>
      <c r="BT65" s="532" t="str">
        <f t="shared" si="27"/>
        <v/>
      </c>
      <c r="BU65" s="532" t="str">
        <f t="shared" si="28"/>
        <v/>
      </c>
      <c r="BV65" s="532" t="str">
        <f t="shared" si="9"/>
        <v/>
      </c>
      <c r="BW65" s="532" t="str">
        <f t="shared" si="10"/>
        <v/>
      </c>
      <c r="BX65" s="532" t="str">
        <f t="shared" si="39"/>
        <v/>
      </c>
      <c r="BY65" s="532" t="str">
        <f t="shared" si="39"/>
        <v/>
      </c>
      <c r="BZ65" s="532" t="str">
        <f t="shared" si="39"/>
        <v/>
      </c>
      <c r="CA65" s="532" t="str">
        <f t="shared" si="29"/>
        <v/>
      </c>
      <c r="CB65" s="532" t="str">
        <f t="shared" si="12"/>
        <v/>
      </c>
      <c r="CC65" s="532" t="str">
        <f t="shared" si="30"/>
        <v/>
      </c>
      <c r="CD65" s="532" t="str">
        <f t="shared" si="31"/>
        <v/>
      </c>
      <c r="CE65" s="532" t="str">
        <f t="shared" si="13"/>
        <v/>
      </c>
      <c r="CF65" s="533" t="str">
        <f t="shared" si="14"/>
        <v/>
      </c>
      <c r="CG65" s="534" t="str">
        <f t="shared" si="32"/>
        <v/>
      </c>
      <c r="CH65" s="424"/>
      <c r="CI65" s="531" t="str">
        <f t="shared" si="33"/>
        <v/>
      </c>
      <c r="CJ65" s="534" t="str">
        <f t="shared" si="34"/>
        <v/>
      </c>
      <c r="CK65" s="424"/>
      <c r="CL65" s="531" t="str">
        <f t="shared" si="35"/>
        <v/>
      </c>
      <c r="CM65" s="534" t="str">
        <f t="shared" si="36"/>
        <v/>
      </c>
      <c r="CN65" s="424"/>
      <c r="CO65" s="531" t="str">
        <f t="shared" si="15"/>
        <v/>
      </c>
      <c r="CP65" s="532" t="str">
        <f t="shared" si="16"/>
        <v/>
      </c>
      <c r="CQ65" s="534" t="str">
        <f t="shared" si="17"/>
        <v/>
      </c>
      <c r="CR65" s="424"/>
      <c r="CS65" s="531" t="str">
        <f t="shared" si="18"/>
        <v/>
      </c>
      <c r="CT65" s="532" t="str">
        <f t="shared" si="19"/>
        <v/>
      </c>
      <c r="CU65" s="534" t="str">
        <f t="shared" si="20"/>
        <v/>
      </c>
      <c r="CW65" s="535" t="str">
        <f t="shared" si="37"/>
        <v/>
      </c>
      <c r="CX65" s="536">
        <f t="shared" si="38"/>
        <v>0</v>
      </c>
    </row>
    <row r="66" spans="2:102" s="410" customFormat="1" x14ac:dyDescent="0.2">
      <c r="B66" s="169">
        <v>40</v>
      </c>
      <c r="C66" s="517"/>
      <c r="D66" s="518"/>
      <c r="E66" s="519"/>
      <c r="F66" s="518"/>
      <c r="G66" s="518"/>
      <c r="H66" s="518"/>
      <c r="I66" s="518"/>
      <c r="J66" s="519"/>
      <c r="K66" s="520"/>
      <c r="L66" s="520"/>
      <c r="M66" s="520"/>
      <c r="N66" s="521" t="str">
        <f t="shared" si="21"/>
        <v/>
      </c>
      <c r="O66" s="522"/>
      <c r="P66" s="522"/>
      <c r="Q66" s="520"/>
      <c r="R66" s="522"/>
      <c r="S66" s="522"/>
      <c r="T66" s="523"/>
      <c r="U66" s="522"/>
      <c r="V66" s="519"/>
      <c r="W66" s="522"/>
      <c r="X66" s="523"/>
      <c r="Y66" s="522"/>
      <c r="Z66" s="522"/>
      <c r="AA66" s="522"/>
      <c r="AB66" s="522"/>
      <c r="AC66" s="524"/>
      <c r="AD66" s="525"/>
      <c r="AE66" s="525"/>
      <c r="AF66" s="522"/>
      <c r="AG66" s="522"/>
      <c r="AH66" s="522"/>
      <c r="AI66" s="522"/>
      <c r="AJ66" s="522"/>
      <c r="AK66" s="522"/>
      <c r="AL66" s="522"/>
      <c r="AM66" s="526"/>
      <c r="AN66" s="506"/>
      <c r="AO66" s="527" t="str">
        <f t="shared" si="0"/>
        <v/>
      </c>
      <c r="AP66" s="528" t="str">
        <f t="shared" si="22"/>
        <v/>
      </c>
      <c r="AQ66" s="506"/>
      <c r="AR66" s="527" t="str">
        <f t="shared" si="1"/>
        <v/>
      </c>
      <c r="AS66" s="528" t="str">
        <f t="shared" si="23"/>
        <v/>
      </c>
      <c r="AT66" s="506"/>
      <c r="AU66" s="506"/>
      <c r="AV66" s="494"/>
      <c r="AW66" s="169">
        <v>40</v>
      </c>
      <c r="AX66" s="529"/>
      <c r="AY66" s="522"/>
      <c r="AZ66" s="524"/>
      <c r="BA66" s="524"/>
      <c r="BB66" s="524"/>
      <c r="BC66" s="524"/>
      <c r="BD66" s="524"/>
      <c r="BE66" s="524"/>
      <c r="BF66" s="524"/>
      <c r="BG66" s="530"/>
      <c r="BH66" s="424"/>
      <c r="BI66" s="424"/>
      <c r="BJ66" s="531" t="str">
        <f t="shared" si="2"/>
        <v/>
      </c>
      <c r="BK66" s="532" t="str">
        <f t="shared" si="3"/>
        <v/>
      </c>
      <c r="BL66" s="532" t="str">
        <f t="shared" si="24"/>
        <v/>
      </c>
      <c r="BM66" s="532" t="str">
        <f t="shared" si="25"/>
        <v/>
      </c>
      <c r="BN66" s="532" t="str">
        <f t="shared" si="26"/>
        <v/>
      </c>
      <c r="BO66" s="532" t="str">
        <f t="shared" si="4"/>
        <v/>
      </c>
      <c r="BP66" s="532" t="str">
        <f t="shared" si="5"/>
        <v/>
      </c>
      <c r="BQ66" s="532" t="str">
        <f t="shared" si="6"/>
        <v/>
      </c>
      <c r="BR66" s="532" t="str">
        <f t="shared" si="7"/>
        <v/>
      </c>
      <c r="BS66" s="532" t="str">
        <f t="shared" si="8"/>
        <v/>
      </c>
      <c r="BT66" s="532" t="str">
        <f t="shared" si="27"/>
        <v/>
      </c>
      <c r="BU66" s="532" t="str">
        <f t="shared" si="28"/>
        <v/>
      </c>
      <c r="BV66" s="532" t="str">
        <f t="shared" si="9"/>
        <v/>
      </c>
      <c r="BW66" s="532" t="str">
        <f t="shared" si="10"/>
        <v/>
      </c>
      <c r="BX66" s="532" t="str">
        <f t="shared" si="39"/>
        <v/>
      </c>
      <c r="BY66" s="532" t="str">
        <f t="shared" si="39"/>
        <v/>
      </c>
      <c r="BZ66" s="532" t="str">
        <f t="shared" si="39"/>
        <v/>
      </c>
      <c r="CA66" s="532" t="str">
        <f t="shared" si="29"/>
        <v/>
      </c>
      <c r="CB66" s="532" t="str">
        <f t="shared" si="12"/>
        <v/>
      </c>
      <c r="CC66" s="532" t="str">
        <f t="shared" si="30"/>
        <v/>
      </c>
      <c r="CD66" s="532" t="str">
        <f t="shared" si="31"/>
        <v/>
      </c>
      <c r="CE66" s="532" t="str">
        <f t="shared" si="13"/>
        <v/>
      </c>
      <c r="CF66" s="533" t="str">
        <f t="shared" si="14"/>
        <v/>
      </c>
      <c r="CG66" s="534" t="str">
        <f t="shared" si="32"/>
        <v/>
      </c>
      <c r="CH66" s="424"/>
      <c r="CI66" s="531" t="str">
        <f t="shared" si="33"/>
        <v/>
      </c>
      <c r="CJ66" s="534" t="str">
        <f t="shared" si="34"/>
        <v/>
      </c>
      <c r="CK66" s="424"/>
      <c r="CL66" s="531" t="str">
        <f t="shared" si="35"/>
        <v/>
      </c>
      <c r="CM66" s="534" t="str">
        <f t="shared" si="36"/>
        <v/>
      </c>
      <c r="CN66" s="424"/>
      <c r="CO66" s="531" t="str">
        <f t="shared" si="15"/>
        <v/>
      </c>
      <c r="CP66" s="532" t="str">
        <f t="shared" si="16"/>
        <v/>
      </c>
      <c r="CQ66" s="534" t="str">
        <f t="shared" si="17"/>
        <v/>
      </c>
      <c r="CR66" s="424"/>
      <c r="CS66" s="531" t="str">
        <f t="shared" si="18"/>
        <v/>
      </c>
      <c r="CT66" s="532" t="str">
        <f t="shared" si="19"/>
        <v/>
      </c>
      <c r="CU66" s="534" t="str">
        <f t="shared" si="20"/>
        <v/>
      </c>
      <c r="CW66" s="535" t="str">
        <f t="shared" si="37"/>
        <v/>
      </c>
      <c r="CX66" s="536">
        <f t="shared" si="38"/>
        <v>0</v>
      </c>
    </row>
    <row r="67" spans="2:102" s="410" customFormat="1" x14ac:dyDescent="0.2">
      <c r="B67" s="169">
        <v>41</v>
      </c>
      <c r="C67" s="517"/>
      <c r="D67" s="518"/>
      <c r="E67" s="519"/>
      <c r="F67" s="518"/>
      <c r="G67" s="518"/>
      <c r="H67" s="518"/>
      <c r="I67" s="518"/>
      <c r="J67" s="519"/>
      <c r="K67" s="520"/>
      <c r="L67" s="520"/>
      <c r="M67" s="520"/>
      <c r="N67" s="521" t="str">
        <f t="shared" si="21"/>
        <v/>
      </c>
      <c r="O67" s="522"/>
      <c r="P67" s="522"/>
      <c r="Q67" s="520"/>
      <c r="R67" s="522"/>
      <c r="S67" s="522"/>
      <c r="T67" s="523"/>
      <c r="U67" s="522"/>
      <c r="V67" s="519"/>
      <c r="W67" s="522"/>
      <c r="X67" s="523"/>
      <c r="Y67" s="522"/>
      <c r="Z67" s="522"/>
      <c r="AA67" s="522"/>
      <c r="AB67" s="522"/>
      <c r="AC67" s="524"/>
      <c r="AD67" s="525"/>
      <c r="AE67" s="525"/>
      <c r="AF67" s="522"/>
      <c r="AG67" s="522"/>
      <c r="AH67" s="522"/>
      <c r="AI67" s="522"/>
      <c r="AJ67" s="522"/>
      <c r="AK67" s="522"/>
      <c r="AL67" s="522"/>
      <c r="AM67" s="526"/>
      <c r="AN67" s="506"/>
      <c r="AO67" s="527" t="str">
        <f t="shared" si="0"/>
        <v/>
      </c>
      <c r="AP67" s="528" t="str">
        <f t="shared" si="22"/>
        <v/>
      </c>
      <c r="AQ67" s="506"/>
      <c r="AR67" s="527" t="str">
        <f t="shared" si="1"/>
        <v/>
      </c>
      <c r="AS67" s="528" t="str">
        <f t="shared" si="23"/>
        <v/>
      </c>
      <c r="AT67" s="506"/>
      <c r="AU67" s="506"/>
      <c r="AV67" s="494"/>
      <c r="AW67" s="169">
        <v>41</v>
      </c>
      <c r="AX67" s="529"/>
      <c r="AY67" s="522"/>
      <c r="AZ67" s="524"/>
      <c r="BA67" s="524"/>
      <c r="BB67" s="524"/>
      <c r="BC67" s="524"/>
      <c r="BD67" s="524"/>
      <c r="BE67" s="524"/>
      <c r="BF67" s="524"/>
      <c r="BG67" s="530"/>
      <c r="BH67" s="424"/>
      <c r="BI67" s="424"/>
      <c r="BJ67" s="531" t="str">
        <f t="shared" si="2"/>
        <v/>
      </c>
      <c r="BK67" s="532" t="str">
        <f t="shared" si="3"/>
        <v/>
      </c>
      <c r="BL67" s="532" t="str">
        <f t="shared" si="24"/>
        <v/>
      </c>
      <c r="BM67" s="532" t="str">
        <f t="shared" si="25"/>
        <v/>
      </c>
      <c r="BN67" s="532" t="str">
        <f t="shared" si="26"/>
        <v/>
      </c>
      <c r="BO67" s="532" t="str">
        <f t="shared" si="4"/>
        <v/>
      </c>
      <c r="BP67" s="532" t="str">
        <f t="shared" si="5"/>
        <v/>
      </c>
      <c r="BQ67" s="532" t="str">
        <f t="shared" si="6"/>
        <v/>
      </c>
      <c r="BR67" s="532" t="str">
        <f t="shared" si="7"/>
        <v/>
      </c>
      <c r="BS67" s="532" t="str">
        <f t="shared" si="8"/>
        <v/>
      </c>
      <c r="BT67" s="532" t="str">
        <f t="shared" si="27"/>
        <v/>
      </c>
      <c r="BU67" s="532" t="str">
        <f t="shared" si="28"/>
        <v/>
      </c>
      <c r="BV67" s="532" t="str">
        <f t="shared" si="9"/>
        <v/>
      </c>
      <c r="BW67" s="532" t="str">
        <f t="shared" si="10"/>
        <v/>
      </c>
      <c r="BX67" s="532" t="str">
        <f t="shared" si="39"/>
        <v/>
      </c>
      <c r="BY67" s="532" t="str">
        <f t="shared" si="39"/>
        <v/>
      </c>
      <c r="BZ67" s="532" t="str">
        <f t="shared" si="39"/>
        <v/>
      </c>
      <c r="CA67" s="532" t="str">
        <f t="shared" si="29"/>
        <v/>
      </c>
      <c r="CB67" s="532" t="str">
        <f t="shared" si="12"/>
        <v/>
      </c>
      <c r="CC67" s="532" t="str">
        <f t="shared" si="30"/>
        <v/>
      </c>
      <c r="CD67" s="532" t="str">
        <f t="shared" si="31"/>
        <v/>
      </c>
      <c r="CE67" s="532" t="str">
        <f t="shared" si="13"/>
        <v/>
      </c>
      <c r="CF67" s="533" t="str">
        <f t="shared" si="14"/>
        <v/>
      </c>
      <c r="CG67" s="534" t="str">
        <f t="shared" si="32"/>
        <v/>
      </c>
      <c r="CH67" s="424"/>
      <c r="CI67" s="531" t="str">
        <f t="shared" si="33"/>
        <v/>
      </c>
      <c r="CJ67" s="534" t="str">
        <f t="shared" si="34"/>
        <v/>
      </c>
      <c r="CK67" s="424"/>
      <c r="CL67" s="531" t="str">
        <f t="shared" si="35"/>
        <v/>
      </c>
      <c r="CM67" s="534" t="str">
        <f t="shared" si="36"/>
        <v/>
      </c>
      <c r="CN67" s="424"/>
      <c r="CO67" s="531" t="str">
        <f t="shared" si="15"/>
        <v/>
      </c>
      <c r="CP67" s="532" t="str">
        <f t="shared" si="16"/>
        <v/>
      </c>
      <c r="CQ67" s="534" t="str">
        <f t="shared" si="17"/>
        <v/>
      </c>
      <c r="CR67" s="424"/>
      <c r="CS67" s="531" t="str">
        <f t="shared" si="18"/>
        <v/>
      </c>
      <c r="CT67" s="532" t="str">
        <f t="shared" si="19"/>
        <v/>
      </c>
      <c r="CU67" s="534" t="str">
        <f t="shared" si="20"/>
        <v/>
      </c>
      <c r="CW67" s="535" t="str">
        <f t="shared" si="37"/>
        <v/>
      </c>
      <c r="CX67" s="536">
        <f t="shared" si="38"/>
        <v>0</v>
      </c>
    </row>
    <row r="68" spans="2:102" s="410" customFormat="1" x14ac:dyDescent="0.2">
      <c r="B68" s="169">
        <v>42</v>
      </c>
      <c r="C68" s="517"/>
      <c r="D68" s="518"/>
      <c r="E68" s="519"/>
      <c r="F68" s="518"/>
      <c r="G68" s="518"/>
      <c r="H68" s="518"/>
      <c r="I68" s="518"/>
      <c r="J68" s="519"/>
      <c r="K68" s="520"/>
      <c r="L68" s="520"/>
      <c r="M68" s="520"/>
      <c r="N68" s="521" t="str">
        <f t="shared" si="21"/>
        <v/>
      </c>
      <c r="O68" s="522"/>
      <c r="P68" s="522"/>
      <c r="Q68" s="520"/>
      <c r="R68" s="522"/>
      <c r="S68" s="522"/>
      <c r="T68" s="523"/>
      <c r="U68" s="522"/>
      <c r="V68" s="519"/>
      <c r="W68" s="522"/>
      <c r="X68" s="523"/>
      <c r="Y68" s="522"/>
      <c r="Z68" s="522"/>
      <c r="AA68" s="522"/>
      <c r="AB68" s="522"/>
      <c r="AC68" s="524"/>
      <c r="AD68" s="525"/>
      <c r="AE68" s="525"/>
      <c r="AF68" s="522"/>
      <c r="AG68" s="522"/>
      <c r="AH68" s="522"/>
      <c r="AI68" s="522"/>
      <c r="AJ68" s="522"/>
      <c r="AK68" s="522"/>
      <c r="AL68" s="522"/>
      <c r="AM68" s="526"/>
      <c r="AN68" s="506"/>
      <c r="AO68" s="527" t="str">
        <f t="shared" si="0"/>
        <v/>
      </c>
      <c r="AP68" s="528" t="str">
        <f t="shared" si="22"/>
        <v/>
      </c>
      <c r="AQ68" s="506"/>
      <c r="AR68" s="527" t="str">
        <f t="shared" si="1"/>
        <v/>
      </c>
      <c r="AS68" s="528" t="str">
        <f t="shared" si="23"/>
        <v/>
      </c>
      <c r="AT68" s="506"/>
      <c r="AU68" s="506"/>
      <c r="AV68" s="494"/>
      <c r="AW68" s="169">
        <v>42</v>
      </c>
      <c r="AX68" s="529"/>
      <c r="AY68" s="522"/>
      <c r="AZ68" s="524"/>
      <c r="BA68" s="524"/>
      <c r="BB68" s="524"/>
      <c r="BC68" s="524"/>
      <c r="BD68" s="524"/>
      <c r="BE68" s="524"/>
      <c r="BF68" s="524"/>
      <c r="BG68" s="530"/>
      <c r="BH68" s="424"/>
      <c r="BI68" s="424"/>
      <c r="BJ68" s="531" t="str">
        <f t="shared" si="2"/>
        <v/>
      </c>
      <c r="BK68" s="532" t="str">
        <f t="shared" si="3"/>
        <v/>
      </c>
      <c r="BL68" s="532" t="str">
        <f t="shared" si="24"/>
        <v/>
      </c>
      <c r="BM68" s="532" t="str">
        <f t="shared" si="25"/>
        <v/>
      </c>
      <c r="BN68" s="532" t="str">
        <f t="shared" si="26"/>
        <v/>
      </c>
      <c r="BO68" s="532" t="str">
        <f t="shared" si="4"/>
        <v/>
      </c>
      <c r="BP68" s="532" t="str">
        <f t="shared" si="5"/>
        <v/>
      </c>
      <c r="BQ68" s="532" t="str">
        <f t="shared" si="6"/>
        <v/>
      </c>
      <c r="BR68" s="532" t="str">
        <f t="shared" si="7"/>
        <v/>
      </c>
      <c r="BS68" s="532" t="str">
        <f t="shared" si="8"/>
        <v/>
      </c>
      <c r="BT68" s="532" t="str">
        <f t="shared" si="27"/>
        <v/>
      </c>
      <c r="BU68" s="532" t="str">
        <f t="shared" si="28"/>
        <v/>
      </c>
      <c r="BV68" s="532" t="str">
        <f t="shared" si="9"/>
        <v/>
      </c>
      <c r="BW68" s="532" t="str">
        <f t="shared" si="10"/>
        <v/>
      </c>
      <c r="BX68" s="532" t="str">
        <f t="shared" si="39"/>
        <v/>
      </c>
      <c r="BY68" s="532" t="str">
        <f t="shared" si="39"/>
        <v/>
      </c>
      <c r="BZ68" s="532" t="str">
        <f t="shared" si="39"/>
        <v/>
      </c>
      <c r="CA68" s="532" t="str">
        <f t="shared" si="29"/>
        <v/>
      </c>
      <c r="CB68" s="532" t="str">
        <f t="shared" si="12"/>
        <v/>
      </c>
      <c r="CC68" s="532" t="str">
        <f t="shared" si="30"/>
        <v/>
      </c>
      <c r="CD68" s="532" t="str">
        <f t="shared" si="31"/>
        <v/>
      </c>
      <c r="CE68" s="532" t="str">
        <f t="shared" si="13"/>
        <v/>
      </c>
      <c r="CF68" s="533" t="str">
        <f t="shared" si="14"/>
        <v/>
      </c>
      <c r="CG68" s="534" t="str">
        <f t="shared" si="32"/>
        <v/>
      </c>
      <c r="CH68" s="424"/>
      <c r="CI68" s="531" t="str">
        <f t="shared" si="33"/>
        <v/>
      </c>
      <c r="CJ68" s="534" t="str">
        <f t="shared" si="34"/>
        <v/>
      </c>
      <c r="CK68" s="424"/>
      <c r="CL68" s="531" t="str">
        <f t="shared" si="35"/>
        <v/>
      </c>
      <c r="CM68" s="534" t="str">
        <f t="shared" si="36"/>
        <v/>
      </c>
      <c r="CN68" s="424"/>
      <c r="CO68" s="531" t="str">
        <f t="shared" si="15"/>
        <v/>
      </c>
      <c r="CP68" s="532" t="str">
        <f t="shared" si="16"/>
        <v/>
      </c>
      <c r="CQ68" s="534" t="str">
        <f t="shared" si="17"/>
        <v/>
      </c>
      <c r="CR68" s="424"/>
      <c r="CS68" s="531" t="str">
        <f t="shared" si="18"/>
        <v/>
      </c>
      <c r="CT68" s="532" t="str">
        <f t="shared" si="19"/>
        <v/>
      </c>
      <c r="CU68" s="534" t="str">
        <f t="shared" si="20"/>
        <v/>
      </c>
      <c r="CW68" s="535" t="str">
        <f t="shared" si="37"/>
        <v/>
      </c>
      <c r="CX68" s="536">
        <f t="shared" si="38"/>
        <v>0</v>
      </c>
    </row>
    <row r="69" spans="2:102" s="410" customFormat="1" x14ac:dyDescent="0.2">
      <c r="B69" s="169">
        <v>43</v>
      </c>
      <c r="C69" s="517"/>
      <c r="D69" s="518"/>
      <c r="E69" s="519"/>
      <c r="F69" s="518"/>
      <c r="G69" s="518"/>
      <c r="H69" s="518"/>
      <c r="I69" s="518"/>
      <c r="J69" s="519"/>
      <c r="K69" s="520"/>
      <c r="L69" s="520"/>
      <c r="M69" s="520"/>
      <c r="N69" s="521" t="str">
        <f t="shared" si="21"/>
        <v/>
      </c>
      <c r="O69" s="522"/>
      <c r="P69" s="522"/>
      <c r="Q69" s="520"/>
      <c r="R69" s="522"/>
      <c r="S69" s="522"/>
      <c r="T69" s="523"/>
      <c r="U69" s="522"/>
      <c r="V69" s="519"/>
      <c r="W69" s="522"/>
      <c r="X69" s="523"/>
      <c r="Y69" s="522"/>
      <c r="Z69" s="522"/>
      <c r="AA69" s="522"/>
      <c r="AB69" s="522"/>
      <c r="AC69" s="524"/>
      <c r="AD69" s="525"/>
      <c r="AE69" s="525"/>
      <c r="AF69" s="522"/>
      <c r="AG69" s="522"/>
      <c r="AH69" s="522"/>
      <c r="AI69" s="522"/>
      <c r="AJ69" s="522"/>
      <c r="AK69" s="522"/>
      <c r="AL69" s="522"/>
      <c r="AM69" s="526"/>
      <c r="AN69" s="506"/>
      <c r="AO69" s="527" t="str">
        <f t="shared" si="0"/>
        <v/>
      </c>
      <c r="AP69" s="528" t="str">
        <f t="shared" si="22"/>
        <v/>
      </c>
      <c r="AQ69" s="506"/>
      <c r="AR69" s="527" t="str">
        <f t="shared" si="1"/>
        <v/>
      </c>
      <c r="AS69" s="528" t="str">
        <f t="shared" si="23"/>
        <v/>
      </c>
      <c r="AT69" s="506"/>
      <c r="AU69" s="506"/>
      <c r="AV69" s="494"/>
      <c r="AW69" s="169">
        <v>43</v>
      </c>
      <c r="AX69" s="529"/>
      <c r="AY69" s="522"/>
      <c r="AZ69" s="524"/>
      <c r="BA69" s="524"/>
      <c r="BB69" s="524"/>
      <c r="BC69" s="524"/>
      <c r="BD69" s="524"/>
      <c r="BE69" s="524"/>
      <c r="BF69" s="524"/>
      <c r="BG69" s="530"/>
      <c r="BH69" s="424"/>
      <c r="BI69" s="424"/>
      <c r="BJ69" s="531" t="str">
        <f t="shared" si="2"/>
        <v/>
      </c>
      <c r="BK69" s="532" t="str">
        <f t="shared" si="3"/>
        <v/>
      </c>
      <c r="BL69" s="532" t="str">
        <f t="shared" si="24"/>
        <v/>
      </c>
      <c r="BM69" s="532" t="str">
        <f t="shared" si="25"/>
        <v/>
      </c>
      <c r="BN69" s="532" t="str">
        <f t="shared" si="26"/>
        <v/>
      </c>
      <c r="BO69" s="532" t="str">
        <f t="shared" si="4"/>
        <v/>
      </c>
      <c r="BP69" s="532" t="str">
        <f t="shared" si="5"/>
        <v/>
      </c>
      <c r="BQ69" s="532" t="str">
        <f t="shared" si="6"/>
        <v/>
      </c>
      <c r="BR69" s="532" t="str">
        <f t="shared" si="7"/>
        <v/>
      </c>
      <c r="BS69" s="532" t="str">
        <f t="shared" si="8"/>
        <v/>
      </c>
      <c r="BT69" s="532" t="str">
        <f t="shared" si="27"/>
        <v/>
      </c>
      <c r="BU69" s="532" t="str">
        <f t="shared" si="28"/>
        <v/>
      </c>
      <c r="BV69" s="532" t="str">
        <f t="shared" si="9"/>
        <v/>
      </c>
      <c r="BW69" s="532" t="str">
        <f t="shared" si="10"/>
        <v/>
      </c>
      <c r="BX69" s="532" t="str">
        <f t="shared" si="39"/>
        <v/>
      </c>
      <c r="BY69" s="532" t="str">
        <f t="shared" si="39"/>
        <v/>
      </c>
      <c r="BZ69" s="532" t="str">
        <f t="shared" si="39"/>
        <v/>
      </c>
      <c r="CA69" s="532" t="str">
        <f t="shared" si="29"/>
        <v/>
      </c>
      <c r="CB69" s="532" t="str">
        <f t="shared" si="12"/>
        <v/>
      </c>
      <c r="CC69" s="532" t="str">
        <f t="shared" si="30"/>
        <v/>
      </c>
      <c r="CD69" s="532" t="str">
        <f t="shared" si="31"/>
        <v/>
      </c>
      <c r="CE69" s="532" t="str">
        <f t="shared" si="13"/>
        <v/>
      </c>
      <c r="CF69" s="533" t="str">
        <f t="shared" si="14"/>
        <v/>
      </c>
      <c r="CG69" s="534" t="str">
        <f t="shared" si="32"/>
        <v/>
      </c>
      <c r="CH69" s="424"/>
      <c r="CI69" s="531" t="str">
        <f t="shared" si="33"/>
        <v/>
      </c>
      <c r="CJ69" s="534" t="str">
        <f t="shared" si="34"/>
        <v/>
      </c>
      <c r="CK69" s="424"/>
      <c r="CL69" s="531" t="str">
        <f t="shared" si="35"/>
        <v/>
      </c>
      <c r="CM69" s="534" t="str">
        <f t="shared" si="36"/>
        <v/>
      </c>
      <c r="CN69" s="424"/>
      <c r="CO69" s="531" t="str">
        <f t="shared" si="15"/>
        <v/>
      </c>
      <c r="CP69" s="532" t="str">
        <f t="shared" si="16"/>
        <v/>
      </c>
      <c r="CQ69" s="534" t="str">
        <f t="shared" si="17"/>
        <v/>
      </c>
      <c r="CR69" s="424"/>
      <c r="CS69" s="531" t="str">
        <f t="shared" si="18"/>
        <v/>
      </c>
      <c r="CT69" s="532" t="str">
        <f t="shared" si="19"/>
        <v/>
      </c>
      <c r="CU69" s="534" t="str">
        <f t="shared" si="20"/>
        <v/>
      </c>
      <c r="CW69" s="535" t="str">
        <f t="shared" si="37"/>
        <v/>
      </c>
      <c r="CX69" s="536">
        <f t="shared" si="38"/>
        <v>0</v>
      </c>
    </row>
    <row r="70" spans="2:102" s="410" customFormat="1" x14ac:dyDescent="0.2">
      <c r="B70" s="169">
        <v>44</v>
      </c>
      <c r="C70" s="517"/>
      <c r="D70" s="518"/>
      <c r="E70" s="519"/>
      <c r="F70" s="518"/>
      <c r="G70" s="518"/>
      <c r="H70" s="518"/>
      <c r="I70" s="518"/>
      <c r="J70" s="519"/>
      <c r="K70" s="520"/>
      <c r="L70" s="520"/>
      <c r="M70" s="520"/>
      <c r="N70" s="521" t="str">
        <f t="shared" si="21"/>
        <v/>
      </c>
      <c r="O70" s="522"/>
      <c r="P70" s="522"/>
      <c r="Q70" s="520"/>
      <c r="R70" s="522"/>
      <c r="S70" s="522"/>
      <c r="T70" s="523"/>
      <c r="U70" s="522"/>
      <c r="V70" s="519"/>
      <c r="W70" s="522"/>
      <c r="X70" s="523"/>
      <c r="Y70" s="522"/>
      <c r="Z70" s="522"/>
      <c r="AA70" s="522"/>
      <c r="AB70" s="522"/>
      <c r="AC70" s="524"/>
      <c r="AD70" s="525"/>
      <c r="AE70" s="525"/>
      <c r="AF70" s="522"/>
      <c r="AG70" s="522"/>
      <c r="AH70" s="522"/>
      <c r="AI70" s="522"/>
      <c r="AJ70" s="522"/>
      <c r="AK70" s="522"/>
      <c r="AL70" s="522"/>
      <c r="AM70" s="526"/>
      <c r="AN70" s="506"/>
      <c r="AO70" s="527" t="str">
        <f t="shared" si="0"/>
        <v/>
      </c>
      <c r="AP70" s="528" t="str">
        <f t="shared" si="22"/>
        <v/>
      </c>
      <c r="AQ70" s="506"/>
      <c r="AR70" s="527" t="str">
        <f t="shared" si="1"/>
        <v/>
      </c>
      <c r="AS70" s="528" t="str">
        <f t="shared" si="23"/>
        <v/>
      </c>
      <c r="AT70" s="506"/>
      <c r="AU70" s="506"/>
      <c r="AV70" s="494"/>
      <c r="AW70" s="169">
        <v>44</v>
      </c>
      <c r="AX70" s="529"/>
      <c r="AY70" s="522"/>
      <c r="AZ70" s="524"/>
      <c r="BA70" s="524"/>
      <c r="BB70" s="524"/>
      <c r="BC70" s="524"/>
      <c r="BD70" s="524"/>
      <c r="BE70" s="524"/>
      <c r="BF70" s="524"/>
      <c r="BG70" s="530"/>
      <c r="BH70" s="424"/>
      <c r="BI70" s="424"/>
      <c r="BJ70" s="531" t="str">
        <f t="shared" si="2"/>
        <v/>
      </c>
      <c r="BK70" s="532" t="str">
        <f t="shared" si="3"/>
        <v/>
      </c>
      <c r="BL70" s="532" t="str">
        <f t="shared" si="24"/>
        <v/>
      </c>
      <c r="BM70" s="532" t="str">
        <f t="shared" si="25"/>
        <v/>
      </c>
      <c r="BN70" s="532" t="str">
        <f t="shared" si="26"/>
        <v/>
      </c>
      <c r="BO70" s="532" t="str">
        <f t="shared" si="4"/>
        <v/>
      </c>
      <c r="BP70" s="532" t="str">
        <f t="shared" si="5"/>
        <v/>
      </c>
      <c r="BQ70" s="532" t="str">
        <f t="shared" si="6"/>
        <v/>
      </c>
      <c r="BR70" s="532" t="str">
        <f t="shared" si="7"/>
        <v/>
      </c>
      <c r="BS70" s="532" t="str">
        <f t="shared" si="8"/>
        <v/>
      </c>
      <c r="BT70" s="532" t="str">
        <f t="shared" si="27"/>
        <v/>
      </c>
      <c r="BU70" s="532" t="str">
        <f t="shared" si="28"/>
        <v/>
      </c>
      <c r="BV70" s="532" t="str">
        <f t="shared" si="9"/>
        <v/>
      </c>
      <c r="BW70" s="532" t="str">
        <f t="shared" si="10"/>
        <v/>
      </c>
      <c r="BX70" s="532" t="str">
        <f t="shared" si="39"/>
        <v/>
      </c>
      <c r="BY70" s="532" t="str">
        <f t="shared" si="39"/>
        <v/>
      </c>
      <c r="BZ70" s="532" t="str">
        <f t="shared" si="39"/>
        <v/>
      </c>
      <c r="CA70" s="532" t="str">
        <f t="shared" si="29"/>
        <v/>
      </c>
      <c r="CB70" s="532" t="str">
        <f t="shared" si="12"/>
        <v/>
      </c>
      <c r="CC70" s="532" t="str">
        <f t="shared" si="30"/>
        <v/>
      </c>
      <c r="CD70" s="532" t="str">
        <f t="shared" si="31"/>
        <v/>
      </c>
      <c r="CE70" s="532" t="str">
        <f t="shared" si="13"/>
        <v/>
      </c>
      <c r="CF70" s="533" t="str">
        <f t="shared" si="14"/>
        <v/>
      </c>
      <c r="CG70" s="534" t="str">
        <f t="shared" si="32"/>
        <v/>
      </c>
      <c r="CH70" s="424"/>
      <c r="CI70" s="531" t="str">
        <f t="shared" si="33"/>
        <v/>
      </c>
      <c r="CJ70" s="534" t="str">
        <f t="shared" si="34"/>
        <v/>
      </c>
      <c r="CK70" s="424"/>
      <c r="CL70" s="531" t="str">
        <f t="shared" si="35"/>
        <v/>
      </c>
      <c r="CM70" s="534" t="str">
        <f t="shared" si="36"/>
        <v/>
      </c>
      <c r="CN70" s="424"/>
      <c r="CO70" s="531" t="str">
        <f t="shared" si="15"/>
        <v/>
      </c>
      <c r="CP70" s="532" t="str">
        <f t="shared" si="16"/>
        <v/>
      </c>
      <c r="CQ70" s="534" t="str">
        <f t="shared" si="17"/>
        <v/>
      </c>
      <c r="CR70" s="424"/>
      <c r="CS70" s="531" t="str">
        <f t="shared" si="18"/>
        <v/>
      </c>
      <c r="CT70" s="532" t="str">
        <f t="shared" si="19"/>
        <v/>
      </c>
      <c r="CU70" s="534" t="str">
        <f t="shared" si="20"/>
        <v/>
      </c>
      <c r="CW70" s="535" t="str">
        <f t="shared" si="37"/>
        <v/>
      </c>
      <c r="CX70" s="536">
        <f t="shared" si="38"/>
        <v>0</v>
      </c>
    </row>
    <row r="71" spans="2:102" s="410" customFormat="1" x14ac:dyDescent="0.2">
      <c r="B71" s="169">
        <v>45</v>
      </c>
      <c r="C71" s="517"/>
      <c r="D71" s="518"/>
      <c r="E71" s="519"/>
      <c r="F71" s="518"/>
      <c r="G71" s="518"/>
      <c r="H71" s="518"/>
      <c r="I71" s="518"/>
      <c r="J71" s="519"/>
      <c r="K71" s="520"/>
      <c r="L71" s="520"/>
      <c r="M71" s="520"/>
      <c r="N71" s="521" t="str">
        <f t="shared" si="21"/>
        <v/>
      </c>
      <c r="O71" s="522"/>
      <c r="P71" s="522"/>
      <c r="Q71" s="520"/>
      <c r="R71" s="522"/>
      <c r="S71" s="522"/>
      <c r="T71" s="523"/>
      <c r="U71" s="522"/>
      <c r="V71" s="519"/>
      <c r="W71" s="522"/>
      <c r="X71" s="523"/>
      <c r="Y71" s="522"/>
      <c r="Z71" s="522"/>
      <c r="AA71" s="522"/>
      <c r="AB71" s="522"/>
      <c r="AC71" s="524"/>
      <c r="AD71" s="525"/>
      <c r="AE71" s="525"/>
      <c r="AF71" s="522"/>
      <c r="AG71" s="522"/>
      <c r="AH71" s="522"/>
      <c r="AI71" s="522"/>
      <c r="AJ71" s="522"/>
      <c r="AK71" s="522"/>
      <c r="AL71" s="522"/>
      <c r="AM71" s="526"/>
      <c r="AN71" s="506"/>
      <c r="AO71" s="527" t="str">
        <f t="shared" si="0"/>
        <v/>
      </c>
      <c r="AP71" s="528" t="str">
        <f t="shared" si="22"/>
        <v/>
      </c>
      <c r="AQ71" s="506"/>
      <c r="AR71" s="527" t="str">
        <f t="shared" si="1"/>
        <v/>
      </c>
      <c r="AS71" s="528" t="str">
        <f t="shared" si="23"/>
        <v/>
      </c>
      <c r="AT71" s="506"/>
      <c r="AU71" s="506"/>
      <c r="AV71" s="494"/>
      <c r="AW71" s="169">
        <v>45</v>
      </c>
      <c r="AX71" s="529"/>
      <c r="AY71" s="522"/>
      <c r="AZ71" s="524"/>
      <c r="BA71" s="524"/>
      <c r="BB71" s="524"/>
      <c r="BC71" s="524"/>
      <c r="BD71" s="524"/>
      <c r="BE71" s="524"/>
      <c r="BF71" s="524"/>
      <c r="BG71" s="530"/>
      <c r="BH71" s="424"/>
      <c r="BI71" s="424"/>
      <c r="BJ71" s="531" t="str">
        <f t="shared" si="2"/>
        <v/>
      </c>
      <c r="BK71" s="532" t="str">
        <f t="shared" si="3"/>
        <v/>
      </c>
      <c r="BL71" s="532" t="str">
        <f t="shared" si="24"/>
        <v/>
      </c>
      <c r="BM71" s="532" t="str">
        <f t="shared" si="25"/>
        <v/>
      </c>
      <c r="BN71" s="532" t="str">
        <f t="shared" si="26"/>
        <v/>
      </c>
      <c r="BO71" s="532" t="str">
        <f t="shared" si="4"/>
        <v/>
      </c>
      <c r="BP71" s="532" t="str">
        <f t="shared" si="5"/>
        <v/>
      </c>
      <c r="BQ71" s="532" t="str">
        <f t="shared" si="6"/>
        <v/>
      </c>
      <c r="BR71" s="532" t="str">
        <f t="shared" si="7"/>
        <v/>
      </c>
      <c r="BS71" s="532" t="str">
        <f t="shared" si="8"/>
        <v/>
      </c>
      <c r="BT71" s="532" t="str">
        <f t="shared" si="27"/>
        <v/>
      </c>
      <c r="BU71" s="532" t="str">
        <f t="shared" si="28"/>
        <v/>
      </c>
      <c r="BV71" s="532" t="str">
        <f t="shared" si="9"/>
        <v/>
      </c>
      <c r="BW71" s="532" t="str">
        <f t="shared" si="10"/>
        <v/>
      </c>
      <c r="BX71" s="532" t="str">
        <f t="shared" si="39"/>
        <v/>
      </c>
      <c r="BY71" s="532" t="str">
        <f t="shared" si="39"/>
        <v/>
      </c>
      <c r="BZ71" s="532" t="str">
        <f t="shared" si="39"/>
        <v/>
      </c>
      <c r="CA71" s="532" t="str">
        <f t="shared" si="29"/>
        <v/>
      </c>
      <c r="CB71" s="532" t="str">
        <f t="shared" si="12"/>
        <v/>
      </c>
      <c r="CC71" s="532" t="str">
        <f t="shared" si="30"/>
        <v/>
      </c>
      <c r="CD71" s="532" t="str">
        <f t="shared" si="31"/>
        <v/>
      </c>
      <c r="CE71" s="532" t="str">
        <f t="shared" si="13"/>
        <v/>
      </c>
      <c r="CF71" s="533" t="str">
        <f t="shared" si="14"/>
        <v/>
      </c>
      <c r="CG71" s="534" t="str">
        <f t="shared" si="32"/>
        <v/>
      </c>
      <c r="CH71" s="424"/>
      <c r="CI71" s="531" t="str">
        <f t="shared" si="33"/>
        <v/>
      </c>
      <c r="CJ71" s="534" t="str">
        <f t="shared" si="34"/>
        <v/>
      </c>
      <c r="CK71" s="424"/>
      <c r="CL71" s="531" t="str">
        <f t="shared" si="35"/>
        <v/>
      </c>
      <c r="CM71" s="534" t="str">
        <f t="shared" si="36"/>
        <v/>
      </c>
      <c r="CN71" s="424"/>
      <c r="CO71" s="531" t="str">
        <f t="shared" si="15"/>
        <v/>
      </c>
      <c r="CP71" s="532" t="str">
        <f t="shared" si="16"/>
        <v/>
      </c>
      <c r="CQ71" s="534" t="str">
        <f t="shared" si="17"/>
        <v/>
      </c>
      <c r="CR71" s="424"/>
      <c r="CS71" s="531" t="str">
        <f t="shared" si="18"/>
        <v/>
      </c>
      <c r="CT71" s="532" t="str">
        <f t="shared" si="19"/>
        <v/>
      </c>
      <c r="CU71" s="534" t="str">
        <f t="shared" si="20"/>
        <v/>
      </c>
      <c r="CW71" s="535" t="str">
        <f t="shared" si="37"/>
        <v/>
      </c>
      <c r="CX71" s="536">
        <f t="shared" si="38"/>
        <v>0</v>
      </c>
    </row>
    <row r="72" spans="2:102" s="410" customFormat="1" x14ac:dyDescent="0.2">
      <c r="B72" s="169">
        <v>46</v>
      </c>
      <c r="C72" s="517"/>
      <c r="D72" s="518"/>
      <c r="E72" s="519"/>
      <c r="F72" s="518"/>
      <c r="G72" s="518"/>
      <c r="H72" s="518"/>
      <c r="I72" s="518"/>
      <c r="J72" s="519"/>
      <c r="K72" s="520"/>
      <c r="L72" s="520"/>
      <c r="M72" s="520"/>
      <c r="N72" s="521" t="str">
        <f t="shared" si="21"/>
        <v/>
      </c>
      <c r="O72" s="522"/>
      <c r="P72" s="522"/>
      <c r="Q72" s="520"/>
      <c r="R72" s="522"/>
      <c r="S72" s="522"/>
      <c r="T72" s="523"/>
      <c r="U72" s="522"/>
      <c r="V72" s="519"/>
      <c r="W72" s="522"/>
      <c r="X72" s="523"/>
      <c r="Y72" s="522"/>
      <c r="Z72" s="522"/>
      <c r="AA72" s="522"/>
      <c r="AB72" s="522"/>
      <c r="AC72" s="524"/>
      <c r="AD72" s="525"/>
      <c r="AE72" s="525"/>
      <c r="AF72" s="522"/>
      <c r="AG72" s="522"/>
      <c r="AH72" s="522"/>
      <c r="AI72" s="522"/>
      <c r="AJ72" s="522"/>
      <c r="AK72" s="522"/>
      <c r="AL72" s="522"/>
      <c r="AM72" s="526"/>
      <c r="AN72" s="506"/>
      <c r="AO72" s="527" t="str">
        <f t="shared" si="0"/>
        <v/>
      </c>
      <c r="AP72" s="528" t="str">
        <f t="shared" si="22"/>
        <v/>
      </c>
      <c r="AQ72" s="506"/>
      <c r="AR72" s="527" t="str">
        <f t="shared" si="1"/>
        <v/>
      </c>
      <c r="AS72" s="528" t="str">
        <f t="shared" si="23"/>
        <v/>
      </c>
      <c r="AT72" s="506"/>
      <c r="AU72" s="506"/>
      <c r="AV72" s="494"/>
      <c r="AW72" s="169">
        <v>46</v>
      </c>
      <c r="AX72" s="529"/>
      <c r="AY72" s="522"/>
      <c r="AZ72" s="524"/>
      <c r="BA72" s="524"/>
      <c r="BB72" s="524"/>
      <c r="BC72" s="524"/>
      <c r="BD72" s="524"/>
      <c r="BE72" s="524"/>
      <c r="BF72" s="524"/>
      <c r="BG72" s="530"/>
      <c r="BH72" s="424"/>
      <c r="BI72" s="424"/>
      <c r="BJ72" s="531" t="str">
        <f t="shared" si="2"/>
        <v/>
      </c>
      <c r="BK72" s="532" t="str">
        <f t="shared" si="3"/>
        <v/>
      </c>
      <c r="BL72" s="532" t="str">
        <f t="shared" si="24"/>
        <v/>
      </c>
      <c r="BM72" s="532" t="str">
        <f t="shared" si="25"/>
        <v/>
      </c>
      <c r="BN72" s="532" t="str">
        <f t="shared" si="26"/>
        <v/>
      </c>
      <c r="BO72" s="532" t="str">
        <f t="shared" si="4"/>
        <v/>
      </c>
      <c r="BP72" s="532" t="str">
        <f t="shared" si="5"/>
        <v/>
      </c>
      <c r="BQ72" s="532" t="str">
        <f t="shared" si="6"/>
        <v/>
      </c>
      <c r="BR72" s="532" t="str">
        <f t="shared" si="7"/>
        <v/>
      </c>
      <c r="BS72" s="532" t="str">
        <f t="shared" si="8"/>
        <v/>
      </c>
      <c r="BT72" s="532" t="str">
        <f t="shared" si="27"/>
        <v/>
      </c>
      <c r="BU72" s="532" t="str">
        <f t="shared" si="28"/>
        <v/>
      </c>
      <c r="BV72" s="532" t="str">
        <f t="shared" si="9"/>
        <v/>
      </c>
      <c r="BW72" s="532" t="str">
        <f t="shared" si="10"/>
        <v/>
      </c>
      <c r="BX72" s="532" t="str">
        <f t="shared" si="39"/>
        <v/>
      </c>
      <c r="BY72" s="532" t="str">
        <f t="shared" si="39"/>
        <v/>
      </c>
      <c r="BZ72" s="532" t="str">
        <f t="shared" si="39"/>
        <v/>
      </c>
      <c r="CA72" s="532" t="str">
        <f t="shared" si="29"/>
        <v/>
      </c>
      <c r="CB72" s="532" t="str">
        <f t="shared" si="12"/>
        <v/>
      </c>
      <c r="CC72" s="532" t="str">
        <f t="shared" si="30"/>
        <v/>
      </c>
      <c r="CD72" s="532" t="str">
        <f t="shared" si="31"/>
        <v/>
      </c>
      <c r="CE72" s="532" t="str">
        <f t="shared" si="13"/>
        <v/>
      </c>
      <c r="CF72" s="533" t="str">
        <f t="shared" si="14"/>
        <v/>
      </c>
      <c r="CG72" s="534" t="str">
        <f t="shared" si="32"/>
        <v/>
      </c>
      <c r="CH72" s="424"/>
      <c r="CI72" s="531" t="str">
        <f t="shared" si="33"/>
        <v/>
      </c>
      <c r="CJ72" s="534" t="str">
        <f t="shared" si="34"/>
        <v/>
      </c>
      <c r="CK72" s="424"/>
      <c r="CL72" s="531" t="str">
        <f t="shared" si="35"/>
        <v/>
      </c>
      <c r="CM72" s="534" t="str">
        <f t="shared" si="36"/>
        <v/>
      </c>
      <c r="CN72" s="424"/>
      <c r="CO72" s="531" t="str">
        <f t="shared" si="15"/>
        <v/>
      </c>
      <c r="CP72" s="532" t="str">
        <f t="shared" si="16"/>
        <v/>
      </c>
      <c r="CQ72" s="534" t="str">
        <f t="shared" si="17"/>
        <v/>
      </c>
      <c r="CR72" s="424"/>
      <c r="CS72" s="531" t="str">
        <f t="shared" si="18"/>
        <v/>
      </c>
      <c r="CT72" s="532" t="str">
        <f t="shared" si="19"/>
        <v/>
      </c>
      <c r="CU72" s="534" t="str">
        <f t="shared" si="20"/>
        <v/>
      </c>
      <c r="CW72" s="535" t="str">
        <f t="shared" si="37"/>
        <v/>
      </c>
      <c r="CX72" s="536">
        <f t="shared" si="38"/>
        <v>0</v>
      </c>
    </row>
    <row r="73" spans="2:102" s="410" customFormat="1" x14ac:dyDescent="0.2">
      <c r="B73" s="169">
        <v>47</v>
      </c>
      <c r="C73" s="517"/>
      <c r="D73" s="518"/>
      <c r="E73" s="519"/>
      <c r="F73" s="518"/>
      <c r="G73" s="518"/>
      <c r="H73" s="518"/>
      <c r="I73" s="518"/>
      <c r="J73" s="519"/>
      <c r="K73" s="520"/>
      <c r="L73" s="520"/>
      <c r="M73" s="520"/>
      <c r="N73" s="521" t="str">
        <f t="shared" si="21"/>
        <v/>
      </c>
      <c r="O73" s="522"/>
      <c r="P73" s="522"/>
      <c r="Q73" s="520"/>
      <c r="R73" s="522"/>
      <c r="S73" s="522"/>
      <c r="T73" s="523"/>
      <c r="U73" s="522"/>
      <c r="V73" s="519"/>
      <c r="W73" s="522"/>
      <c r="X73" s="523"/>
      <c r="Y73" s="522"/>
      <c r="Z73" s="522"/>
      <c r="AA73" s="522"/>
      <c r="AB73" s="522"/>
      <c r="AC73" s="524"/>
      <c r="AD73" s="525"/>
      <c r="AE73" s="525"/>
      <c r="AF73" s="522"/>
      <c r="AG73" s="522"/>
      <c r="AH73" s="522"/>
      <c r="AI73" s="522"/>
      <c r="AJ73" s="522"/>
      <c r="AK73" s="522"/>
      <c r="AL73" s="522"/>
      <c r="AM73" s="526"/>
      <c r="AN73" s="506"/>
      <c r="AO73" s="527" t="str">
        <f t="shared" si="0"/>
        <v/>
      </c>
      <c r="AP73" s="528" t="str">
        <f t="shared" si="22"/>
        <v/>
      </c>
      <c r="AQ73" s="506"/>
      <c r="AR73" s="527" t="str">
        <f t="shared" si="1"/>
        <v/>
      </c>
      <c r="AS73" s="528" t="str">
        <f t="shared" si="23"/>
        <v/>
      </c>
      <c r="AT73" s="506"/>
      <c r="AU73" s="506"/>
      <c r="AV73" s="494"/>
      <c r="AW73" s="169">
        <v>47</v>
      </c>
      <c r="AX73" s="529"/>
      <c r="AY73" s="522"/>
      <c r="AZ73" s="524"/>
      <c r="BA73" s="524"/>
      <c r="BB73" s="524"/>
      <c r="BC73" s="524"/>
      <c r="BD73" s="524"/>
      <c r="BE73" s="524"/>
      <c r="BF73" s="524"/>
      <c r="BG73" s="530"/>
      <c r="BH73" s="424"/>
      <c r="BI73" s="424"/>
      <c r="BJ73" s="531" t="str">
        <f t="shared" si="2"/>
        <v/>
      </c>
      <c r="BK73" s="532" t="str">
        <f t="shared" si="3"/>
        <v/>
      </c>
      <c r="BL73" s="532" t="str">
        <f t="shared" si="24"/>
        <v/>
      </c>
      <c r="BM73" s="532" t="str">
        <f t="shared" si="25"/>
        <v/>
      </c>
      <c r="BN73" s="532" t="str">
        <f t="shared" si="26"/>
        <v/>
      </c>
      <c r="BO73" s="532" t="str">
        <f t="shared" si="4"/>
        <v/>
      </c>
      <c r="BP73" s="532" t="str">
        <f t="shared" si="5"/>
        <v/>
      </c>
      <c r="BQ73" s="532" t="str">
        <f t="shared" si="6"/>
        <v/>
      </c>
      <c r="BR73" s="532" t="str">
        <f t="shared" si="7"/>
        <v/>
      </c>
      <c r="BS73" s="532" t="str">
        <f t="shared" si="8"/>
        <v/>
      </c>
      <c r="BT73" s="532" t="str">
        <f t="shared" si="27"/>
        <v/>
      </c>
      <c r="BU73" s="532" t="str">
        <f t="shared" si="28"/>
        <v/>
      </c>
      <c r="BV73" s="532" t="str">
        <f t="shared" si="9"/>
        <v/>
      </c>
      <c r="BW73" s="532" t="str">
        <f t="shared" si="10"/>
        <v/>
      </c>
      <c r="BX73" s="532" t="str">
        <f t="shared" si="39"/>
        <v/>
      </c>
      <c r="BY73" s="532" t="str">
        <f t="shared" si="39"/>
        <v/>
      </c>
      <c r="BZ73" s="532" t="str">
        <f t="shared" si="39"/>
        <v/>
      </c>
      <c r="CA73" s="532" t="str">
        <f t="shared" si="29"/>
        <v/>
      </c>
      <c r="CB73" s="532" t="str">
        <f t="shared" si="12"/>
        <v/>
      </c>
      <c r="CC73" s="532" t="str">
        <f t="shared" si="30"/>
        <v/>
      </c>
      <c r="CD73" s="532" t="str">
        <f t="shared" si="31"/>
        <v/>
      </c>
      <c r="CE73" s="532" t="str">
        <f t="shared" si="13"/>
        <v/>
      </c>
      <c r="CF73" s="533" t="str">
        <f t="shared" si="14"/>
        <v/>
      </c>
      <c r="CG73" s="534" t="str">
        <f t="shared" si="32"/>
        <v/>
      </c>
      <c r="CH73" s="424"/>
      <c r="CI73" s="531" t="str">
        <f t="shared" si="33"/>
        <v/>
      </c>
      <c r="CJ73" s="534" t="str">
        <f t="shared" si="34"/>
        <v/>
      </c>
      <c r="CK73" s="424"/>
      <c r="CL73" s="531" t="str">
        <f t="shared" si="35"/>
        <v/>
      </c>
      <c r="CM73" s="534" t="str">
        <f t="shared" si="36"/>
        <v/>
      </c>
      <c r="CN73" s="424"/>
      <c r="CO73" s="531" t="str">
        <f t="shared" si="15"/>
        <v/>
      </c>
      <c r="CP73" s="532" t="str">
        <f t="shared" si="16"/>
        <v/>
      </c>
      <c r="CQ73" s="534" t="str">
        <f t="shared" si="17"/>
        <v/>
      </c>
      <c r="CR73" s="424"/>
      <c r="CS73" s="531" t="str">
        <f t="shared" si="18"/>
        <v/>
      </c>
      <c r="CT73" s="532" t="str">
        <f t="shared" si="19"/>
        <v/>
      </c>
      <c r="CU73" s="534" t="str">
        <f t="shared" si="20"/>
        <v/>
      </c>
      <c r="CW73" s="535" t="str">
        <f t="shared" si="37"/>
        <v/>
      </c>
      <c r="CX73" s="536">
        <f t="shared" si="38"/>
        <v>0</v>
      </c>
    </row>
    <row r="74" spans="2:102" s="410" customFormat="1" x14ac:dyDescent="0.2">
      <c r="B74" s="169">
        <v>48</v>
      </c>
      <c r="C74" s="517"/>
      <c r="D74" s="518"/>
      <c r="E74" s="519"/>
      <c r="F74" s="518"/>
      <c r="G74" s="518"/>
      <c r="H74" s="518"/>
      <c r="I74" s="518"/>
      <c r="J74" s="519"/>
      <c r="K74" s="520"/>
      <c r="L74" s="520"/>
      <c r="M74" s="520"/>
      <c r="N74" s="521" t="str">
        <f t="shared" si="21"/>
        <v/>
      </c>
      <c r="O74" s="522"/>
      <c r="P74" s="522"/>
      <c r="Q74" s="520"/>
      <c r="R74" s="522"/>
      <c r="S74" s="522"/>
      <c r="T74" s="523"/>
      <c r="U74" s="522"/>
      <c r="V74" s="519"/>
      <c r="W74" s="522"/>
      <c r="X74" s="523"/>
      <c r="Y74" s="522"/>
      <c r="Z74" s="522"/>
      <c r="AA74" s="522"/>
      <c r="AB74" s="522"/>
      <c r="AC74" s="524"/>
      <c r="AD74" s="525"/>
      <c r="AE74" s="525"/>
      <c r="AF74" s="522"/>
      <c r="AG74" s="522"/>
      <c r="AH74" s="522"/>
      <c r="AI74" s="522"/>
      <c r="AJ74" s="522"/>
      <c r="AK74" s="522"/>
      <c r="AL74" s="522"/>
      <c r="AM74" s="526"/>
      <c r="AN74" s="506"/>
      <c r="AO74" s="527" t="str">
        <f t="shared" si="0"/>
        <v/>
      </c>
      <c r="AP74" s="528" t="str">
        <f t="shared" si="22"/>
        <v/>
      </c>
      <c r="AQ74" s="506"/>
      <c r="AR74" s="527" t="str">
        <f t="shared" si="1"/>
        <v/>
      </c>
      <c r="AS74" s="528" t="str">
        <f t="shared" si="23"/>
        <v/>
      </c>
      <c r="AT74" s="506"/>
      <c r="AU74" s="506"/>
      <c r="AV74" s="494"/>
      <c r="AW74" s="169">
        <v>48</v>
      </c>
      <c r="AX74" s="529"/>
      <c r="AY74" s="522"/>
      <c r="AZ74" s="524"/>
      <c r="BA74" s="524"/>
      <c r="BB74" s="524"/>
      <c r="BC74" s="524"/>
      <c r="BD74" s="524"/>
      <c r="BE74" s="524"/>
      <c r="BF74" s="524"/>
      <c r="BG74" s="530"/>
      <c r="BH74" s="424"/>
      <c r="BI74" s="424"/>
      <c r="BJ74" s="531" t="str">
        <f t="shared" si="2"/>
        <v/>
      </c>
      <c r="BK74" s="532" t="str">
        <f t="shared" si="3"/>
        <v/>
      </c>
      <c r="BL74" s="532" t="str">
        <f t="shared" si="24"/>
        <v/>
      </c>
      <c r="BM74" s="532" t="str">
        <f t="shared" si="25"/>
        <v/>
      </c>
      <c r="BN74" s="532" t="str">
        <f t="shared" si="26"/>
        <v/>
      </c>
      <c r="BO74" s="532" t="str">
        <f t="shared" si="4"/>
        <v/>
      </c>
      <c r="BP74" s="532" t="str">
        <f t="shared" si="5"/>
        <v/>
      </c>
      <c r="BQ74" s="532" t="str">
        <f t="shared" si="6"/>
        <v/>
      </c>
      <c r="BR74" s="532" t="str">
        <f t="shared" si="7"/>
        <v/>
      </c>
      <c r="BS74" s="532" t="str">
        <f t="shared" si="8"/>
        <v/>
      </c>
      <c r="BT74" s="532" t="str">
        <f t="shared" si="27"/>
        <v/>
      </c>
      <c r="BU74" s="532" t="str">
        <f t="shared" si="28"/>
        <v/>
      </c>
      <c r="BV74" s="532" t="str">
        <f t="shared" si="9"/>
        <v/>
      </c>
      <c r="BW74" s="532" t="str">
        <f t="shared" si="10"/>
        <v/>
      </c>
      <c r="BX74" s="532" t="str">
        <f t="shared" si="39"/>
        <v/>
      </c>
      <c r="BY74" s="532" t="str">
        <f t="shared" si="39"/>
        <v/>
      </c>
      <c r="BZ74" s="532" t="str">
        <f t="shared" si="39"/>
        <v/>
      </c>
      <c r="CA74" s="532" t="str">
        <f t="shared" si="29"/>
        <v/>
      </c>
      <c r="CB74" s="532" t="str">
        <f t="shared" si="12"/>
        <v/>
      </c>
      <c r="CC74" s="532" t="str">
        <f t="shared" si="30"/>
        <v/>
      </c>
      <c r="CD74" s="532" t="str">
        <f t="shared" si="31"/>
        <v/>
      </c>
      <c r="CE74" s="532" t="str">
        <f t="shared" si="13"/>
        <v/>
      </c>
      <c r="CF74" s="533" t="str">
        <f t="shared" si="14"/>
        <v/>
      </c>
      <c r="CG74" s="534" t="str">
        <f t="shared" si="32"/>
        <v/>
      </c>
      <c r="CH74" s="424"/>
      <c r="CI74" s="531" t="str">
        <f t="shared" si="33"/>
        <v/>
      </c>
      <c r="CJ74" s="534" t="str">
        <f t="shared" si="34"/>
        <v/>
      </c>
      <c r="CK74" s="424"/>
      <c r="CL74" s="531" t="str">
        <f t="shared" si="35"/>
        <v/>
      </c>
      <c r="CM74" s="534" t="str">
        <f t="shared" si="36"/>
        <v/>
      </c>
      <c r="CN74" s="424"/>
      <c r="CO74" s="531" t="str">
        <f t="shared" si="15"/>
        <v/>
      </c>
      <c r="CP74" s="532" t="str">
        <f t="shared" si="16"/>
        <v/>
      </c>
      <c r="CQ74" s="534" t="str">
        <f t="shared" si="17"/>
        <v/>
      </c>
      <c r="CR74" s="424"/>
      <c r="CS74" s="531" t="str">
        <f t="shared" si="18"/>
        <v/>
      </c>
      <c r="CT74" s="532" t="str">
        <f t="shared" si="19"/>
        <v/>
      </c>
      <c r="CU74" s="534" t="str">
        <f t="shared" si="20"/>
        <v/>
      </c>
      <c r="CW74" s="535" t="str">
        <f t="shared" si="37"/>
        <v/>
      </c>
      <c r="CX74" s="536">
        <f t="shared" si="38"/>
        <v>0</v>
      </c>
    </row>
    <row r="75" spans="2:102" s="410" customFormat="1" x14ac:dyDescent="0.2">
      <c r="B75" s="169">
        <v>49</v>
      </c>
      <c r="C75" s="517"/>
      <c r="D75" s="518"/>
      <c r="E75" s="519"/>
      <c r="F75" s="518"/>
      <c r="G75" s="518"/>
      <c r="H75" s="518"/>
      <c r="I75" s="518"/>
      <c r="J75" s="519"/>
      <c r="K75" s="520"/>
      <c r="L75" s="520"/>
      <c r="M75" s="520"/>
      <c r="N75" s="521" t="str">
        <f t="shared" si="21"/>
        <v/>
      </c>
      <c r="O75" s="522"/>
      <c r="P75" s="522"/>
      <c r="Q75" s="520"/>
      <c r="R75" s="522"/>
      <c r="S75" s="522"/>
      <c r="T75" s="523"/>
      <c r="U75" s="522"/>
      <c r="V75" s="519"/>
      <c r="W75" s="522"/>
      <c r="X75" s="523"/>
      <c r="Y75" s="522"/>
      <c r="Z75" s="522"/>
      <c r="AA75" s="522"/>
      <c r="AB75" s="522"/>
      <c r="AC75" s="524"/>
      <c r="AD75" s="525"/>
      <c r="AE75" s="525"/>
      <c r="AF75" s="522"/>
      <c r="AG75" s="522"/>
      <c r="AH75" s="522"/>
      <c r="AI75" s="522"/>
      <c r="AJ75" s="522"/>
      <c r="AK75" s="522"/>
      <c r="AL75" s="522"/>
      <c r="AM75" s="526"/>
      <c r="AN75" s="506"/>
      <c r="AO75" s="527" t="str">
        <f t="shared" si="0"/>
        <v/>
      </c>
      <c r="AP75" s="528" t="str">
        <f t="shared" si="22"/>
        <v/>
      </c>
      <c r="AQ75" s="506"/>
      <c r="AR75" s="527" t="str">
        <f t="shared" si="1"/>
        <v/>
      </c>
      <c r="AS75" s="528" t="str">
        <f t="shared" si="23"/>
        <v/>
      </c>
      <c r="AT75" s="506"/>
      <c r="AU75" s="506"/>
      <c r="AV75" s="494"/>
      <c r="AW75" s="169">
        <v>49</v>
      </c>
      <c r="AX75" s="529"/>
      <c r="AY75" s="522"/>
      <c r="AZ75" s="524"/>
      <c r="BA75" s="524"/>
      <c r="BB75" s="524"/>
      <c r="BC75" s="524"/>
      <c r="BD75" s="524"/>
      <c r="BE75" s="524"/>
      <c r="BF75" s="524"/>
      <c r="BG75" s="530"/>
      <c r="BH75" s="424"/>
      <c r="BI75" s="424"/>
      <c r="BJ75" s="531" t="str">
        <f t="shared" si="2"/>
        <v/>
      </c>
      <c r="BK75" s="532" t="str">
        <f t="shared" si="3"/>
        <v/>
      </c>
      <c r="BL75" s="532" t="str">
        <f t="shared" si="24"/>
        <v/>
      </c>
      <c r="BM75" s="532" t="str">
        <f t="shared" si="25"/>
        <v/>
      </c>
      <c r="BN75" s="532" t="str">
        <f t="shared" si="26"/>
        <v/>
      </c>
      <c r="BO75" s="532" t="str">
        <f t="shared" si="4"/>
        <v/>
      </c>
      <c r="BP75" s="532" t="str">
        <f t="shared" si="5"/>
        <v/>
      </c>
      <c r="BQ75" s="532" t="str">
        <f t="shared" si="6"/>
        <v/>
      </c>
      <c r="BR75" s="532" t="str">
        <f t="shared" si="7"/>
        <v/>
      </c>
      <c r="BS75" s="532" t="str">
        <f t="shared" si="8"/>
        <v/>
      </c>
      <c r="BT75" s="532" t="str">
        <f t="shared" si="27"/>
        <v/>
      </c>
      <c r="BU75" s="532" t="str">
        <f t="shared" si="28"/>
        <v/>
      </c>
      <c r="BV75" s="532" t="str">
        <f t="shared" si="9"/>
        <v/>
      </c>
      <c r="BW75" s="532" t="str">
        <f t="shared" si="10"/>
        <v/>
      </c>
      <c r="BX75" s="532" t="str">
        <f t="shared" si="39"/>
        <v/>
      </c>
      <c r="BY75" s="532" t="str">
        <f t="shared" si="39"/>
        <v/>
      </c>
      <c r="BZ75" s="532" t="str">
        <f t="shared" si="39"/>
        <v/>
      </c>
      <c r="CA75" s="532" t="str">
        <f t="shared" si="29"/>
        <v/>
      </c>
      <c r="CB75" s="532" t="str">
        <f t="shared" si="12"/>
        <v/>
      </c>
      <c r="CC75" s="532" t="str">
        <f t="shared" si="30"/>
        <v/>
      </c>
      <c r="CD75" s="532" t="str">
        <f t="shared" si="31"/>
        <v/>
      </c>
      <c r="CE75" s="532" t="str">
        <f t="shared" si="13"/>
        <v/>
      </c>
      <c r="CF75" s="533" t="str">
        <f t="shared" si="14"/>
        <v/>
      </c>
      <c r="CG75" s="534" t="str">
        <f t="shared" si="32"/>
        <v/>
      </c>
      <c r="CH75" s="424"/>
      <c r="CI75" s="531" t="str">
        <f t="shared" si="33"/>
        <v/>
      </c>
      <c r="CJ75" s="534" t="str">
        <f t="shared" si="34"/>
        <v/>
      </c>
      <c r="CK75" s="424"/>
      <c r="CL75" s="531" t="str">
        <f t="shared" si="35"/>
        <v/>
      </c>
      <c r="CM75" s="534" t="str">
        <f t="shared" si="36"/>
        <v/>
      </c>
      <c r="CN75" s="424"/>
      <c r="CO75" s="531" t="str">
        <f t="shared" si="15"/>
        <v/>
      </c>
      <c r="CP75" s="532" t="str">
        <f t="shared" si="16"/>
        <v/>
      </c>
      <c r="CQ75" s="534" t="str">
        <f t="shared" si="17"/>
        <v/>
      </c>
      <c r="CR75" s="424"/>
      <c r="CS75" s="531" t="str">
        <f t="shared" si="18"/>
        <v/>
      </c>
      <c r="CT75" s="532" t="str">
        <f t="shared" si="19"/>
        <v/>
      </c>
      <c r="CU75" s="534" t="str">
        <f t="shared" si="20"/>
        <v/>
      </c>
      <c r="CW75" s="535" t="str">
        <f t="shared" si="37"/>
        <v/>
      </c>
      <c r="CX75" s="536">
        <f t="shared" si="38"/>
        <v>0</v>
      </c>
    </row>
    <row r="76" spans="2:102" s="410" customFormat="1" x14ac:dyDescent="0.2">
      <c r="B76" s="169">
        <v>50</v>
      </c>
      <c r="C76" s="517"/>
      <c r="D76" s="518"/>
      <c r="E76" s="519"/>
      <c r="F76" s="518"/>
      <c r="G76" s="518"/>
      <c r="H76" s="518"/>
      <c r="I76" s="518"/>
      <c r="J76" s="519"/>
      <c r="K76" s="520"/>
      <c r="L76" s="520"/>
      <c r="M76" s="520"/>
      <c r="N76" s="521" t="str">
        <f t="shared" si="21"/>
        <v/>
      </c>
      <c r="O76" s="522"/>
      <c r="P76" s="522"/>
      <c r="Q76" s="520"/>
      <c r="R76" s="522"/>
      <c r="S76" s="522"/>
      <c r="T76" s="523"/>
      <c r="U76" s="522"/>
      <c r="V76" s="519"/>
      <c r="W76" s="522"/>
      <c r="X76" s="523"/>
      <c r="Y76" s="522"/>
      <c r="Z76" s="522"/>
      <c r="AA76" s="522"/>
      <c r="AB76" s="522"/>
      <c r="AC76" s="524"/>
      <c r="AD76" s="525"/>
      <c r="AE76" s="525"/>
      <c r="AF76" s="522"/>
      <c r="AG76" s="522"/>
      <c r="AH76" s="522"/>
      <c r="AI76" s="522"/>
      <c r="AJ76" s="522"/>
      <c r="AK76" s="522"/>
      <c r="AL76" s="522"/>
      <c r="AM76" s="526"/>
      <c r="AN76" s="506"/>
      <c r="AO76" s="527" t="str">
        <f t="shared" si="0"/>
        <v/>
      </c>
      <c r="AP76" s="528" t="str">
        <f t="shared" si="22"/>
        <v/>
      </c>
      <c r="AQ76" s="506"/>
      <c r="AR76" s="527" t="str">
        <f t="shared" si="1"/>
        <v/>
      </c>
      <c r="AS76" s="528" t="str">
        <f t="shared" si="23"/>
        <v/>
      </c>
      <c r="AT76" s="506"/>
      <c r="AU76" s="506"/>
      <c r="AV76" s="494"/>
      <c r="AW76" s="169">
        <v>50</v>
      </c>
      <c r="AX76" s="529"/>
      <c r="AY76" s="522"/>
      <c r="AZ76" s="524"/>
      <c r="BA76" s="524"/>
      <c r="BB76" s="524"/>
      <c r="BC76" s="524"/>
      <c r="BD76" s="524"/>
      <c r="BE76" s="524"/>
      <c r="BF76" s="524"/>
      <c r="BG76" s="530"/>
      <c r="BH76" s="424"/>
      <c r="BI76" s="424"/>
      <c r="BJ76" s="531" t="str">
        <f t="shared" si="2"/>
        <v/>
      </c>
      <c r="BK76" s="532" t="str">
        <f t="shared" si="3"/>
        <v/>
      </c>
      <c r="BL76" s="532" t="str">
        <f t="shared" si="24"/>
        <v/>
      </c>
      <c r="BM76" s="532" t="str">
        <f t="shared" si="25"/>
        <v/>
      </c>
      <c r="BN76" s="532" t="str">
        <f t="shared" si="26"/>
        <v/>
      </c>
      <c r="BO76" s="532" t="str">
        <f t="shared" si="4"/>
        <v/>
      </c>
      <c r="BP76" s="532" t="str">
        <f t="shared" si="5"/>
        <v/>
      </c>
      <c r="BQ76" s="532" t="str">
        <f t="shared" si="6"/>
        <v/>
      </c>
      <c r="BR76" s="532" t="str">
        <f t="shared" si="7"/>
        <v/>
      </c>
      <c r="BS76" s="532" t="str">
        <f t="shared" si="8"/>
        <v/>
      </c>
      <c r="BT76" s="532" t="str">
        <f t="shared" si="27"/>
        <v/>
      </c>
      <c r="BU76" s="532" t="str">
        <f t="shared" si="28"/>
        <v/>
      </c>
      <c r="BV76" s="532" t="str">
        <f t="shared" si="9"/>
        <v/>
      </c>
      <c r="BW76" s="532" t="str">
        <f t="shared" si="10"/>
        <v/>
      </c>
      <c r="BX76" s="532" t="str">
        <f t="shared" si="39"/>
        <v/>
      </c>
      <c r="BY76" s="532" t="str">
        <f t="shared" si="39"/>
        <v/>
      </c>
      <c r="BZ76" s="532" t="str">
        <f t="shared" si="39"/>
        <v/>
      </c>
      <c r="CA76" s="532" t="str">
        <f t="shared" si="29"/>
        <v/>
      </c>
      <c r="CB76" s="532" t="str">
        <f t="shared" si="12"/>
        <v/>
      </c>
      <c r="CC76" s="532" t="str">
        <f t="shared" si="30"/>
        <v/>
      </c>
      <c r="CD76" s="532" t="str">
        <f t="shared" si="31"/>
        <v/>
      </c>
      <c r="CE76" s="532" t="str">
        <f t="shared" si="13"/>
        <v/>
      </c>
      <c r="CF76" s="533" t="str">
        <f t="shared" si="14"/>
        <v/>
      </c>
      <c r="CG76" s="534" t="str">
        <f t="shared" si="32"/>
        <v/>
      </c>
      <c r="CH76" s="424"/>
      <c r="CI76" s="531" t="str">
        <f t="shared" si="33"/>
        <v/>
      </c>
      <c r="CJ76" s="534" t="str">
        <f t="shared" si="34"/>
        <v/>
      </c>
      <c r="CK76" s="424"/>
      <c r="CL76" s="531" t="str">
        <f t="shared" si="35"/>
        <v/>
      </c>
      <c r="CM76" s="534" t="str">
        <f t="shared" si="36"/>
        <v/>
      </c>
      <c r="CN76" s="424"/>
      <c r="CO76" s="531" t="str">
        <f t="shared" si="15"/>
        <v/>
      </c>
      <c r="CP76" s="532" t="str">
        <f t="shared" si="16"/>
        <v/>
      </c>
      <c r="CQ76" s="534" t="str">
        <f t="shared" si="17"/>
        <v/>
      </c>
      <c r="CR76" s="424"/>
      <c r="CS76" s="531" t="str">
        <f t="shared" si="18"/>
        <v/>
      </c>
      <c r="CT76" s="532" t="str">
        <f t="shared" si="19"/>
        <v/>
      </c>
      <c r="CU76" s="534" t="str">
        <f t="shared" si="20"/>
        <v/>
      </c>
      <c r="CW76" s="535" t="str">
        <f t="shared" si="37"/>
        <v/>
      </c>
      <c r="CX76" s="536">
        <f t="shared" si="38"/>
        <v>0</v>
      </c>
    </row>
    <row r="77" spans="2:102" s="410" customFormat="1" x14ac:dyDescent="0.2">
      <c r="B77" s="169">
        <v>51</v>
      </c>
      <c r="C77" s="517"/>
      <c r="D77" s="518"/>
      <c r="E77" s="519"/>
      <c r="F77" s="518"/>
      <c r="G77" s="518"/>
      <c r="H77" s="518"/>
      <c r="I77" s="518"/>
      <c r="J77" s="519"/>
      <c r="K77" s="520"/>
      <c r="L77" s="520"/>
      <c r="M77" s="520"/>
      <c r="N77" s="521" t="str">
        <f t="shared" si="21"/>
        <v/>
      </c>
      <c r="O77" s="522"/>
      <c r="P77" s="522"/>
      <c r="Q77" s="520"/>
      <c r="R77" s="522"/>
      <c r="S77" s="522"/>
      <c r="T77" s="523"/>
      <c r="U77" s="522"/>
      <c r="V77" s="519"/>
      <c r="W77" s="522"/>
      <c r="X77" s="523"/>
      <c r="Y77" s="522"/>
      <c r="Z77" s="522"/>
      <c r="AA77" s="522"/>
      <c r="AB77" s="522"/>
      <c r="AC77" s="524"/>
      <c r="AD77" s="525"/>
      <c r="AE77" s="525"/>
      <c r="AF77" s="522"/>
      <c r="AG77" s="522"/>
      <c r="AH77" s="522"/>
      <c r="AI77" s="522"/>
      <c r="AJ77" s="522"/>
      <c r="AK77" s="522"/>
      <c r="AL77" s="522"/>
      <c r="AM77" s="526"/>
      <c r="AN77" s="506"/>
      <c r="AO77" s="527" t="str">
        <f t="shared" si="0"/>
        <v/>
      </c>
      <c r="AP77" s="528" t="str">
        <f t="shared" si="22"/>
        <v/>
      </c>
      <c r="AQ77" s="506"/>
      <c r="AR77" s="527" t="str">
        <f t="shared" si="1"/>
        <v/>
      </c>
      <c r="AS77" s="528" t="str">
        <f t="shared" si="23"/>
        <v/>
      </c>
      <c r="AT77" s="506"/>
      <c r="AU77" s="506"/>
      <c r="AV77" s="494"/>
      <c r="AW77" s="169">
        <v>51</v>
      </c>
      <c r="AX77" s="529"/>
      <c r="AY77" s="522"/>
      <c r="AZ77" s="524"/>
      <c r="BA77" s="524"/>
      <c r="BB77" s="524"/>
      <c r="BC77" s="524"/>
      <c r="BD77" s="524"/>
      <c r="BE77" s="524"/>
      <c r="BF77" s="524"/>
      <c r="BG77" s="530"/>
      <c r="BH77" s="424"/>
      <c r="BI77" s="424"/>
      <c r="BJ77" s="531" t="str">
        <f t="shared" si="2"/>
        <v/>
      </c>
      <c r="BK77" s="532" t="str">
        <f t="shared" si="3"/>
        <v/>
      </c>
      <c r="BL77" s="532" t="str">
        <f t="shared" si="24"/>
        <v/>
      </c>
      <c r="BM77" s="532" t="str">
        <f t="shared" si="25"/>
        <v/>
      </c>
      <c r="BN77" s="532" t="str">
        <f t="shared" si="26"/>
        <v/>
      </c>
      <c r="BO77" s="532" t="str">
        <f t="shared" si="4"/>
        <v/>
      </c>
      <c r="BP77" s="532" t="str">
        <f t="shared" si="5"/>
        <v/>
      </c>
      <c r="BQ77" s="532" t="str">
        <f t="shared" si="6"/>
        <v/>
      </c>
      <c r="BR77" s="532" t="str">
        <f t="shared" si="7"/>
        <v/>
      </c>
      <c r="BS77" s="532" t="str">
        <f t="shared" si="8"/>
        <v/>
      </c>
      <c r="BT77" s="532" t="str">
        <f t="shared" si="27"/>
        <v/>
      </c>
      <c r="BU77" s="532" t="str">
        <f t="shared" si="28"/>
        <v/>
      </c>
      <c r="BV77" s="532" t="str">
        <f t="shared" si="9"/>
        <v/>
      </c>
      <c r="BW77" s="532" t="str">
        <f t="shared" si="10"/>
        <v/>
      </c>
      <c r="BX77" s="532" t="str">
        <f t="shared" si="39"/>
        <v/>
      </c>
      <c r="BY77" s="532" t="str">
        <f t="shared" si="39"/>
        <v/>
      </c>
      <c r="BZ77" s="532" t="str">
        <f t="shared" si="39"/>
        <v/>
      </c>
      <c r="CA77" s="532" t="str">
        <f t="shared" si="29"/>
        <v/>
      </c>
      <c r="CB77" s="532" t="str">
        <f t="shared" si="12"/>
        <v/>
      </c>
      <c r="CC77" s="532" t="str">
        <f t="shared" si="30"/>
        <v/>
      </c>
      <c r="CD77" s="532" t="str">
        <f t="shared" si="31"/>
        <v/>
      </c>
      <c r="CE77" s="532" t="str">
        <f t="shared" si="13"/>
        <v/>
      </c>
      <c r="CF77" s="533" t="str">
        <f t="shared" si="14"/>
        <v/>
      </c>
      <c r="CG77" s="534" t="str">
        <f t="shared" si="32"/>
        <v/>
      </c>
      <c r="CH77" s="424"/>
      <c r="CI77" s="531" t="str">
        <f t="shared" si="33"/>
        <v/>
      </c>
      <c r="CJ77" s="534" t="str">
        <f t="shared" si="34"/>
        <v/>
      </c>
      <c r="CK77" s="424"/>
      <c r="CL77" s="531" t="str">
        <f t="shared" si="35"/>
        <v/>
      </c>
      <c r="CM77" s="534" t="str">
        <f t="shared" si="36"/>
        <v/>
      </c>
      <c r="CN77" s="424"/>
      <c r="CO77" s="531" t="str">
        <f t="shared" si="15"/>
        <v/>
      </c>
      <c r="CP77" s="532" t="str">
        <f t="shared" si="16"/>
        <v/>
      </c>
      <c r="CQ77" s="534" t="str">
        <f t="shared" si="17"/>
        <v/>
      </c>
      <c r="CR77" s="424"/>
      <c r="CS77" s="531" t="str">
        <f t="shared" si="18"/>
        <v/>
      </c>
      <c r="CT77" s="532" t="str">
        <f t="shared" si="19"/>
        <v/>
      </c>
      <c r="CU77" s="534" t="str">
        <f t="shared" si="20"/>
        <v/>
      </c>
      <c r="CW77" s="535" t="str">
        <f t="shared" si="37"/>
        <v/>
      </c>
      <c r="CX77" s="536">
        <f t="shared" si="38"/>
        <v>0</v>
      </c>
    </row>
    <row r="78" spans="2:102" s="410" customFormat="1" x14ac:dyDescent="0.2">
      <c r="B78" s="169">
        <v>52</v>
      </c>
      <c r="C78" s="517"/>
      <c r="D78" s="518"/>
      <c r="E78" s="519"/>
      <c r="F78" s="518"/>
      <c r="G78" s="518"/>
      <c r="H78" s="518"/>
      <c r="I78" s="518"/>
      <c r="J78" s="519"/>
      <c r="K78" s="520"/>
      <c r="L78" s="520"/>
      <c r="M78" s="520"/>
      <c r="N78" s="521" t="str">
        <f t="shared" si="21"/>
        <v/>
      </c>
      <c r="O78" s="522"/>
      <c r="P78" s="522"/>
      <c r="Q78" s="520"/>
      <c r="R78" s="522"/>
      <c r="S78" s="522"/>
      <c r="T78" s="523"/>
      <c r="U78" s="522"/>
      <c r="V78" s="519"/>
      <c r="W78" s="522"/>
      <c r="X78" s="523"/>
      <c r="Y78" s="522"/>
      <c r="Z78" s="522"/>
      <c r="AA78" s="522"/>
      <c r="AB78" s="522"/>
      <c r="AC78" s="524"/>
      <c r="AD78" s="525"/>
      <c r="AE78" s="525"/>
      <c r="AF78" s="522"/>
      <c r="AG78" s="522"/>
      <c r="AH78" s="522"/>
      <c r="AI78" s="522"/>
      <c r="AJ78" s="522"/>
      <c r="AK78" s="522"/>
      <c r="AL78" s="522"/>
      <c r="AM78" s="526"/>
      <c r="AN78" s="506"/>
      <c r="AO78" s="527" t="str">
        <f t="shared" si="0"/>
        <v/>
      </c>
      <c r="AP78" s="528" t="str">
        <f t="shared" si="22"/>
        <v/>
      </c>
      <c r="AQ78" s="506"/>
      <c r="AR78" s="527" t="str">
        <f t="shared" si="1"/>
        <v/>
      </c>
      <c r="AS78" s="528" t="str">
        <f t="shared" si="23"/>
        <v/>
      </c>
      <c r="AT78" s="506"/>
      <c r="AU78" s="506"/>
      <c r="AV78" s="494"/>
      <c r="AW78" s="169">
        <v>52</v>
      </c>
      <c r="AX78" s="529"/>
      <c r="AY78" s="522"/>
      <c r="AZ78" s="524"/>
      <c r="BA78" s="524"/>
      <c r="BB78" s="524"/>
      <c r="BC78" s="524"/>
      <c r="BD78" s="524"/>
      <c r="BE78" s="524"/>
      <c r="BF78" s="524"/>
      <c r="BG78" s="530"/>
      <c r="BH78" s="424"/>
      <c r="BI78" s="424"/>
      <c r="BJ78" s="531" t="str">
        <f t="shared" si="2"/>
        <v/>
      </c>
      <c r="BK78" s="532" t="str">
        <f t="shared" si="3"/>
        <v/>
      </c>
      <c r="BL78" s="532" t="str">
        <f t="shared" si="24"/>
        <v/>
      </c>
      <c r="BM78" s="532" t="str">
        <f t="shared" si="25"/>
        <v/>
      </c>
      <c r="BN78" s="532" t="str">
        <f t="shared" si="26"/>
        <v/>
      </c>
      <c r="BO78" s="532" t="str">
        <f t="shared" si="4"/>
        <v/>
      </c>
      <c r="BP78" s="532" t="str">
        <f t="shared" si="5"/>
        <v/>
      </c>
      <c r="BQ78" s="532" t="str">
        <f t="shared" si="6"/>
        <v/>
      </c>
      <c r="BR78" s="532" t="str">
        <f t="shared" si="7"/>
        <v/>
      </c>
      <c r="BS78" s="532" t="str">
        <f t="shared" si="8"/>
        <v/>
      </c>
      <c r="BT78" s="532" t="str">
        <f t="shared" si="27"/>
        <v/>
      </c>
      <c r="BU78" s="532" t="str">
        <f t="shared" si="28"/>
        <v/>
      </c>
      <c r="BV78" s="532" t="str">
        <f t="shared" si="9"/>
        <v/>
      </c>
      <c r="BW78" s="532" t="str">
        <f t="shared" si="10"/>
        <v/>
      </c>
      <c r="BX78" s="532" t="str">
        <f t="shared" si="39"/>
        <v/>
      </c>
      <c r="BY78" s="532" t="str">
        <f t="shared" si="39"/>
        <v/>
      </c>
      <c r="BZ78" s="532" t="str">
        <f t="shared" si="39"/>
        <v/>
      </c>
      <c r="CA78" s="532" t="str">
        <f t="shared" si="29"/>
        <v/>
      </c>
      <c r="CB78" s="532" t="str">
        <f t="shared" si="12"/>
        <v/>
      </c>
      <c r="CC78" s="532" t="str">
        <f t="shared" si="30"/>
        <v/>
      </c>
      <c r="CD78" s="532" t="str">
        <f t="shared" si="31"/>
        <v/>
      </c>
      <c r="CE78" s="532" t="str">
        <f t="shared" si="13"/>
        <v/>
      </c>
      <c r="CF78" s="533" t="str">
        <f t="shared" si="14"/>
        <v/>
      </c>
      <c r="CG78" s="534" t="str">
        <f t="shared" si="32"/>
        <v/>
      </c>
      <c r="CH78" s="424"/>
      <c r="CI78" s="531" t="str">
        <f t="shared" si="33"/>
        <v/>
      </c>
      <c r="CJ78" s="534" t="str">
        <f t="shared" si="34"/>
        <v/>
      </c>
      <c r="CK78" s="424"/>
      <c r="CL78" s="531" t="str">
        <f t="shared" si="35"/>
        <v/>
      </c>
      <c r="CM78" s="534" t="str">
        <f t="shared" si="36"/>
        <v/>
      </c>
      <c r="CN78" s="424"/>
      <c r="CO78" s="531" t="str">
        <f t="shared" si="15"/>
        <v/>
      </c>
      <c r="CP78" s="532" t="str">
        <f t="shared" si="16"/>
        <v/>
      </c>
      <c r="CQ78" s="534" t="str">
        <f t="shared" si="17"/>
        <v/>
      </c>
      <c r="CR78" s="424"/>
      <c r="CS78" s="531" t="str">
        <f t="shared" si="18"/>
        <v/>
      </c>
      <c r="CT78" s="532" t="str">
        <f t="shared" si="19"/>
        <v/>
      </c>
      <c r="CU78" s="534" t="str">
        <f t="shared" si="20"/>
        <v/>
      </c>
      <c r="CW78" s="535" t="str">
        <f t="shared" si="37"/>
        <v/>
      </c>
      <c r="CX78" s="536">
        <f t="shared" si="38"/>
        <v>0</v>
      </c>
    </row>
    <row r="79" spans="2:102" s="410" customFormat="1" x14ac:dyDescent="0.2">
      <c r="B79" s="169">
        <v>53</v>
      </c>
      <c r="C79" s="517"/>
      <c r="D79" s="518"/>
      <c r="E79" s="519"/>
      <c r="F79" s="518"/>
      <c r="G79" s="518"/>
      <c r="H79" s="518"/>
      <c r="I79" s="518"/>
      <c r="J79" s="519"/>
      <c r="K79" s="520"/>
      <c r="L79" s="520"/>
      <c r="M79" s="520"/>
      <c r="N79" s="521" t="str">
        <f t="shared" si="21"/>
        <v/>
      </c>
      <c r="O79" s="522"/>
      <c r="P79" s="522"/>
      <c r="Q79" s="520"/>
      <c r="R79" s="522"/>
      <c r="S79" s="522"/>
      <c r="T79" s="523"/>
      <c r="U79" s="522"/>
      <c r="V79" s="519"/>
      <c r="W79" s="522"/>
      <c r="X79" s="523"/>
      <c r="Y79" s="522"/>
      <c r="Z79" s="522"/>
      <c r="AA79" s="522"/>
      <c r="AB79" s="522"/>
      <c r="AC79" s="524"/>
      <c r="AD79" s="525"/>
      <c r="AE79" s="525"/>
      <c r="AF79" s="522"/>
      <c r="AG79" s="522"/>
      <c r="AH79" s="522"/>
      <c r="AI79" s="522"/>
      <c r="AJ79" s="522"/>
      <c r="AK79" s="522"/>
      <c r="AL79" s="522"/>
      <c r="AM79" s="526"/>
      <c r="AN79" s="506"/>
      <c r="AO79" s="527" t="str">
        <f t="shared" si="0"/>
        <v/>
      </c>
      <c r="AP79" s="528" t="str">
        <f t="shared" si="22"/>
        <v/>
      </c>
      <c r="AQ79" s="506"/>
      <c r="AR79" s="527" t="str">
        <f t="shared" si="1"/>
        <v/>
      </c>
      <c r="AS79" s="528" t="str">
        <f t="shared" si="23"/>
        <v/>
      </c>
      <c r="AT79" s="506"/>
      <c r="AU79" s="506"/>
      <c r="AV79" s="494"/>
      <c r="AW79" s="169">
        <v>53</v>
      </c>
      <c r="AX79" s="529"/>
      <c r="AY79" s="522"/>
      <c r="AZ79" s="524"/>
      <c r="BA79" s="524"/>
      <c r="BB79" s="524"/>
      <c r="BC79" s="524"/>
      <c r="BD79" s="524"/>
      <c r="BE79" s="524"/>
      <c r="BF79" s="524"/>
      <c r="BG79" s="530"/>
      <c r="BH79" s="424"/>
      <c r="BI79" s="424"/>
      <c r="BJ79" s="531" t="str">
        <f t="shared" si="2"/>
        <v/>
      </c>
      <c r="BK79" s="532" t="str">
        <f t="shared" si="3"/>
        <v/>
      </c>
      <c r="BL79" s="532" t="str">
        <f t="shared" si="24"/>
        <v/>
      </c>
      <c r="BM79" s="532" t="str">
        <f t="shared" si="25"/>
        <v/>
      </c>
      <c r="BN79" s="532" t="str">
        <f t="shared" si="26"/>
        <v/>
      </c>
      <c r="BO79" s="532" t="str">
        <f t="shared" si="4"/>
        <v/>
      </c>
      <c r="BP79" s="532" t="str">
        <f t="shared" si="5"/>
        <v/>
      </c>
      <c r="BQ79" s="532" t="str">
        <f t="shared" si="6"/>
        <v/>
      </c>
      <c r="BR79" s="532" t="str">
        <f t="shared" si="7"/>
        <v/>
      </c>
      <c r="BS79" s="532" t="str">
        <f t="shared" si="8"/>
        <v/>
      </c>
      <c r="BT79" s="532" t="str">
        <f t="shared" si="27"/>
        <v/>
      </c>
      <c r="BU79" s="532" t="str">
        <f t="shared" si="28"/>
        <v/>
      </c>
      <c r="BV79" s="532" t="str">
        <f t="shared" si="9"/>
        <v/>
      </c>
      <c r="BW79" s="532" t="str">
        <f t="shared" si="10"/>
        <v/>
      </c>
      <c r="BX79" s="532" t="str">
        <f t="shared" si="39"/>
        <v/>
      </c>
      <c r="BY79" s="532" t="str">
        <f t="shared" si="39"/>
        <v/>
      </c>
      <c r="BZ79" s="532" t="str">
        <f t="shared" si="39"/>
        <v/>
      </c>
      <c r="CA79" s="532" t="str">
        <f t="shared" si="29"/>
        <v/>
      </c>
      <c r="CB79" s="532" t="str">
        <f t="shared" si="12"/>
        <v/>
      </c>
      <c r="CC79" s="532" t="str">
        <f t="shared" si="30"/>
        <v/>
      </c>
      <c r="CD79" s="532" t="str">
        <f t="shared" si="31"/>
        <v/>
      </c>
      <c r="CE79" s="532" t="str">
        <f t="shared" si="13"/>
        <v/>
      </c>
      <c r="CF79" s="533" t="str">
        <f t="shared" si="14"/>
        <v/>
      </c>
      <c r="CG79" s="534" t="str">
        <f t="shared" si="32"/>
        <v/>
      </c>
      <c r="CH79" s="424"/>
      <c r="CI79" s="531" t="str">
        <f t="shared" si="33"/>
        <v/>
      </c>
      <c r="CJ79" s="534" t="str">
        <f t="shared" si="34"/>
        <v/>
      </c>
      <c r="CK79" s="424"/>
      <c r="CL79" s="531" t="str">
        <f t="shared" si="35"/>
        <v/>
      </c>
      <c r="CM79" s="534" t="str">
        <f t="shared" si="36"/>
        <v/>
      </c>
      <c r="CN79" s="424"/>
      <c r="CO79" s="531" t="str">
        <f t="shared" si="15"/>
        <v/>
      </c>
      <c r="CP79" s="532" t="str">
        <f t="shared" si="16"/>
        <v/>
      </c>
      <c r="CQ79" s="534" t="str">
        <f t="shared" si="17"/>
        <v/>
      </c>
      <c r="CR79" s="424"/>
      <c r="CS79" s="531" t="str">
        <f t="shared" si="18"/>
        <v/>
      </c>
      <c r="CT79" s="532" t="str">
        <f t="shared" si="19"/>
        <v/>
      </c>
      <c r="CU79" s="534" t="str">
        <f t="shared" si="20"/>
        <v/>
      </c>
      <c r="CW79" s="535" t="str">
        <f t="shared" si="37"/>
        <v/>
      </c>
      <c r="CX79" s="536">
        <f t="shared" si="38"/>
        <v>0</v>
      </c>
    </row>
    <row r="80" spans="2:102" s="410" customFormat="1" x14ac:dyDescent="0.2">
      <c r="B80" s="169">
        <v>54</v>
      </c>
      <c r="C80" s="517"/>
      <c r="D80" s="518"/>
      <c r="E80" s="519"/>
      <c r="F80" s="518"/>
      <c r="G80" s="518"/>
      <c r="H80" s="518"/>
      <c r="I80" s="518"/>
      <c r="J80" s="519"/>
      <c r="K80" s="520"/>
      <c r="L80" s="520"/>
      <c r="M80" s="520"/>
      <c r="N80" s="521" t="str">
        <f t="shared" si="21"/>
        <v/>
      </c>
      <c r="O80" s="522"/>
      <c r="P80" s="522"/>
      <c r="Q80" s="520"/>
      <c r="R80" s="522"/>
      <c r="S80" s="522"/>
      <c r="T80" s="523"/>
      <c r="U80" s="522"/>
      <c r="V80" s="519"/>
      <c r="W80" s="522"/>
      <c r="X80" s="523"/>
      <c r="Y80" s="522"/>
      <c r="Z80" s="522"/>
      <c r="AA80" s="522"/>
      <c r="AB80" s="522"/>
      <c r="AC80" s="524"/>
      <c r="AD80" s="525"/>
      <c r="AE80" s="525"/>
      <c r="AF80" s="522"/>
      <c r="AG80" s="522"/>
      <c r="AH80" s="522"/>
      <c r="AI80" s="522"/>
      <c r="AJ80" s="522"/>
      <c r="AK80" s="522"/>
      <c r="AL80" s="522"/>
      <c r="AM80" s="526"/>
      <c r="AN80" s="506"/>
      <c r="AO80" s="527" t="str">
        <f t="shared" si="0"/>
        <v/>
      </c>
      <c r="AP80" s="528" t="str">
        <f t="shared" si="22"/>
        <v/>
      </c>
      <c r="AQ80" s="506"/>
      <c r="AR80" s="527" t="str">
        <f t="shared" si="1"/>
        <v/>
      </c>
      <c r="AS80" s="528" t="str">
        <f t="shared" si="23"/>
        <v/>
      </c>
      <c r="AT80" s="506"/>
      <c r="AU80" s="506"/>
      <c r="AV80" s="494"/>
      <c r="AW80" s="169">
        <v>54</v>
      </c>
      <c r="AX80" s="529"/>
      <c r="AY80" s="522"/>
      <c r="AZ80" s="524"/>
      <c r="BA80" s="524"/>
      <c r="BB80" s="524"/>
      <c r="BC80" s="524"/>
      <c r="BD80" s="524"/>
      <c r="BE80" s="524"/>
      <c r="BF80" s="524"/>
      <c r="BG80" s="530"/>
      <c r="BH80" s="424"/>
      <c r="BI80" s="424"/>
      <c r="BJ80" s="531" t="str">
        <f t="shared" si="2"/>
        <v/>
      </c>
      <c r="BK80" s="532" t="str">
        <f t="shared" si="3"/>
        <v/>
      </c>
      <c r="BL80" s="532" t="str">
        <f t="shared" si="24"/>
        <v/>
      </c>
      <c r="BM80" s="532" t="str">
        <f t="shared" si="25"/>
        <v/>
      </c>
      <c r="BN80" s="532" t="str">
        <f t="shared" si="26"/>
        <v/>
      </c>
      <c r="BO80" s="532" t="str">
        <f t="shared" si="4"/>
        <v/>
      </c>
      <c r="BP80" s="532" t="str">
        <f t="shared" si="5"/>
        <v/>
      </c>
      <c r="BQ80" s="532" t="str">
        <f t="shared" si="6"/>
        <v/>
      </c>
      <c r="BR80" s="532" t="str">
        <f t="shared" si="7"/>
        <v/>
      </c>
      <c r="BS80" s="532" t="str">
        <f t="shared" si="8"/>
        <v/>
      </c>
      <c r="BT80" s="532" t="str">
        <f t="shared" si="27"/>
        <v/>
      </c>
      <c r="BU80" s="532" t="str">
        <f t="shared" si="28"/>
        <v/>
      </c>
      <c r="BV80" s="532" t="str">
        <f t="shared" si="9"/>
        <v/>
      </c>
      <c r="BW80" s="532" t="str">
        <f t="shared" si="10"/>
        <v/>
      </c>
      <c r="BX80" s="532" t="str">
        <f t="shared" si="39"/>
        <v/>
      </c>
      <c r="BY80" s="532" t="str">
        <f t="shared" si="39"/>
        <v/>
      </c>
      <c r="BZ80" s="532" t="str">
        <f t="shared" si="39"/>
        <v/>
      </c>
      <c r="CA80" s="532" t="str">
        <f t="shared" si="29"/>
        <v/>
      </c>
      <c r="CB80" s="532" t="str">
        <f t="shared" si="12"/>
        <v/>
      </c>
      <c r="CC80" s="532" t="str">
        <f t="shared" si="30"/>
        <v/>
      </c>
      <c r="CD80" s="532" t="str">
        <f t="shared" si="31"/>
        <v/>
      </c>
      <c r="CE80" s="532" t="str">
        <f t="shared" si="13"/>
        <v/>
      </c>
      <c r="CF80" s="533" t="str">
        <f t="shared" si="14"/>
        <v/>
      </c>
      <c r="CG80" s="534" t="str">
        <f t="shared" si="32"/>
        <v/>
      </c>
      <c r="CH80" s="424"/>
      <c r="CI80" s="531" t="str">
        <f t="shared" si="33"/>
        <v/>
      </c>
      <c r="CJ80" s="534" t="str">
        <f t="shared" si="34"/>
        <v/>
      </c>
      <c r="CK80" s="424"/>
      <c r="CL80" s="531" t="str">
        <f t="shared" si="35"/>
        <v/>
      </c>
      <c r="CM80" s="534" t="str">
        <f t="shared" si="36"/>
        <v/>
      </c>
      <c r="CN80" s="424"/>
      <c r="CO80" s="531" t="str">
        <f t="shared" si="15"/>
        <v/>
      </c>
      <c r="CP80" s="532" t="str">
        <f t="shared" si="16"/>
        <v/>
      </c>
      <c r="CQ80" s="534" t="str">
        <f t="shared" si="17"/>
        <v/>
      </c>
      <c r="CR80" s="424"/>
      <c r="CS80" s="531" t="str">
        <f t="shared" si="18"/>
        <v/>
      </c>
      <c r="CT80" s="532" t="str">
        <f t="shared" si="19"/>
        <v/>
      </c>
      <c r="CU80" s="534" t="str">
        <f t="shared" si="20"/>
        <v/>
      </c>
      <c r="CW80" s="535" t="str">
        <f t="shared" si="37"/>
        <v/>
      </c>
      <c r="CX80" s="536">
        <f t="shared" si="38"/>
        <v>0</v>
      </c>
    </row>
    <row r="81" spans="2:102" s="410" customFormat="1" x14ac:dyDescent="0.2">
      <c r="B81" s="169">
        <v>55</v>
      </c>
      <c r="C81" s="517"/>
      <c r="D81" s="518"/>
      <c r="E81" s="519"/>
      <c r="F81" s="518"/>
      <c r="G81" s="518"/>
      <c r="H81" s="518"/>
      <c r="I81" s="518"/>
      <c r="J81" s="519"/>
      <c r="K81" s="520"/>
      <c r="L81" s="520"/>
      <c r="M81" s="520"/>
      <c r="N81" s="521" t="str">
        <f t="shared" si="21"/>
        <v/>
      </c>
      <c r="O81" s="522"/>
      <c r="P81" s="522"/>
      <c r="Q81" s="520"/>
      <c r="R81" s="522"/>
      <c r="S81" s="522"/>
      <c r="T81" s="523"/>
      <c r="U81" s="522"/>
      <c r="V81" s="519"/>
      <c r="W81" s="522"/>
      <c r="X81" s="523"/>
      <c r="Y81" s="522"/>
      <c r="Z81" s="522"/>
      <c r="AA81" s="522"/>
      <c r="AB81" s="522"/>
      <c r="AC81" s="524"/>
      <c r="AD81" s="525"/>
      <c r="AE81" s="525"/>
      <c r="AF81" s="522"/>
      <c r="AG81" s="522"/>
      <c r="AH81" s="522"/>
      <c r="AI81" s="522"/>
      <c r="AJ81" s="522"/>
      <c r="AK81" s="522"/>
      <c r="AL81" s="522"/>
      <c r="AM81" s="526"/>
      <c r="AN81" s="506"/>
      <c r="AO81" s="527" t="str">
        <f t="shared" si="0"/>
        <v/>
      </c>
      <c r="AP81" s="528" t="str">
        <f t="shared" si="22"/>
        <v/>
      </c>
      <c r="AQ81" s="506"/>
      <c r="AR81" s="527" t="str">
        <f t="shared" si="1"/>
        <v/>
      </c>
      <c r="AS81" s="528" t="str">
        <f t="shared" si="23"/>
        <v/>
      </c>
      <c r="AT81" s="506"/>
      <c r="AU81" s="506"/>
      <c r="AV81" s="494"/>
      <c r="AW81" s="169">
        <v>55</v>
      </c>
      <c r="AX81" s="529"/>
      <c r="AY81" s="522"/>
      <c r="AZ81" s="524"/>
      <c r="BA81" s="524"/>
      <c r="BB81" s="524"/>
      <c r="BC81" s="524"/>
      <c r="BD81" s="524"/>
      <c r="BE81" s="524"/>
      <c r="BF81" s="524"/>
      <c r="BG81" s="530"/>
      <c r="BH81" s="424"/>
      <c r="BI81" s="424"/>
      <c r="BJ81" s="531" t="str">
        <f t="shared" si="2"/>
        <v/>
      </c>
      <c r="BK81" s="532" t="str">
        <f t="shared" si="3"/>
        <v/>
      </c>
      <c r="BL81" s="532" t="str">
        <f t="shared" si="24"/>
        <v/>
      </c>
      <c r="BM81" s="532" t="str">
        <f t="shared" si="25"/>
        <v/>
      </c>
      <c r="BN81" s="532" t="str">
        <f t="shared" si="26"/>
        <v/>
      </c>
      <c r="BO81" s="532" t="str">
        <f t="shared" si="4"/>
        <v/>
      </c>
      <c r="BP81" s="532" t="str">
        <f t="shared" si="5"/>
        <v/>
      </c>
      <c r="BQ81" s="532" t="str">
        <f t="shared" si="6"/>
        <v/>
      </c>
      <c r="BR81" s="532" t="str">
        <f t="shared" si="7"/>
        <v/>
      </c>
      <c r="BS81" s="532" t="str">
        <f t="shared" si="8"/>
        <v/>
      </c>
      <c r="BT81" s="532" t="str">
        <f t="shared" si="27"/>
        <v/>
      </c>
      <c r="BU81" s="532" t="str">
        <f t="shared" si="28"/>
        <v/>
      </c>
      <c r="BV81" s="532" t="str">
        <f t="shared" si="9"/>
        <v/>
      </c>
      <c r="BW81" s="532" t="str">
        <f t="shared" si="10"/>
        <v/>
      </c>
      <c r="BX81" s="532" t="str">
        <f t="shared" si="39"/>
        <v/>
      </c>
      <c r="BY81" s="532" t="str">
        <f t="shared" si="39"/>
        <v/>
      </c>
      <c r="BZ81" s="532" t="str">
        <f t="shared" si="39"/>
        <v/>
      </c>
      <c r="CA81" s="532" t="str">
        <f t="shared" si="29"/>
        <v/>
      </c>
      <c r="CB81" s="532" t="str">
        <f t="shared" si="12"/>
        <v/>
      </c>
      <c r="CC81" s="532" t="str">
        <f t="shared" si="30"/>
        <v/>
      </c>
      <c r="CD81" s="532" t="str">
        <f t="shared" si="31"/>
        <v/>
      </c>
      <c r="CE81" s="532" t="str">
        <f t="shared" si="13"/>
        <v/>
      </c>
      <c r="CF81" s="533" t="str">
        <f t="shared" si="14"/>
        <v/>
      </c>
      <c r="CG81" s="534" t="str">
        <f t="shared" si="32"/>
        <v/>
      </c>
      <c r="CH81" s="424"/>
      <c r="CI81" s="531" t="str">
        <f t="shared" si="33"/>
        <v/>
      </c>
      <c r="CJ81" s="534" t="str">
        <f t="shared" si="34"/>
        <v/>
      </c>
      <c r="CK81" s="424"/>
      <c r="CL81" s="531" t="str">
        <f t="shared" si="35"/>
        <v/>
      </c>
      <c r="CM81" s="534" t="str">
        <f t="shared" si="36"/>
        <v/>
      </c>
      <c r="CN81" s="424"/>
      <c r="CO81" s="531" t="str">
        <f t="shared" si="15"/>
        <v/>
      </c>
      <c r="CP81" s="532" t="str">
        <f t="shared" si="16"/>
        <v/>
      </c>
      <c r="CQ81" s="534" t="str">
        <f t="shared" si="17"/>
        <v/>
      </c>
      <c r="CR81" s="424"/>
      <c r="CS81" s="531" t="str">
        <f t="shared" si="18"/>
        <v/>
      </c>
      <c r="CT81" s="532" t="str">
        <f t="shared" si="19"/>
        <v/>
      </c>
      <c r="CU81" s="534" t="str">
        <f t="shared" si="20"/>
        <v/>
      </c>
      <c r="CW81" s="535" t="str">
        <f t="shared" si="37"/>
        <v/>
      </c>
      <c r="CX81" s="536">
        <f t="shared" si="38"/>
        <v>0</v>
      </c>
    </row>
    <row r="82" spans="2:102" s="410" customFormat="1" x14ac:dyDescent="0.2">
      <c r="B82" s="169">
        <v>56</v>
      </c>
      <c r="C82" s="517"/>
      <c r="D82" s="518"/>
      <c r="E82" s="519"/>
      <c r="F82" s="518"/>
      <c r="G82" s="518"/>
      <c r="H82" s="518"/>
      <c r="I82" s="518"/>
      <c r="J82" s="519"/>
      <c r="K82" s="520"/>
      <c r="L82" s="520"/>
      <c r="M82" s="520"/>
      <c r="N82" s="521" t="str">
        <f t="shared" si="21"/>
        <v/>
      </c>
      <c r="O82" s="522"/>
      <c r="P82" s="522"/>
      <c r="Q82" s="520"/>
      <c r="R82" s="522"/>
      <c r="S82" s="522"/>
      <c r="T82" s="523"/>
      <c r="U82" s="522"/>
      <c r="V82" s="519"/>
      <c r="W82" s="522"/>
      <c r="X82" s="523"/>
      <c r="Y82" s="522"/>
      <c r="Z82" s="522"/>
      <c r="AA82" s="522"/>
      <c r="AB82" s="522"/>
      <c r="AC82" s="524"/>
      <c r="AD82" s="525"/>
      <c r="AE82" s="525"/>
      <c r="AF82" s="522"/>
      <c r="AG82" s="522"/>
      <c r="AH82" s="522"/>
      <c r="AI82" s="522"/>
      <c r="AJ82" s="522"/>
      <c r="AK82" s="522"/>
      <c r="AL82" s="522"/>
      <c r="AM82" s="526"/>
      <c r="AN82" s="506"/>
      <c r="AO82" s="527" t="str">
        <f t="shared" si="0"/>
        <v/>
      </c>
      <c r="AP82" s="528" t="str">
        <f t="shared" si="22"/>
        <v/>
      </c>
      <c r="AQ82" s="506"/>
      <c r="AR82" s="527" t="str">
        <f t="shared" si="1"/>
        <v/>
      </c>
      <c r="AS82" s="528" t="str">
        <f t="shared" si="23"/>
        <v/>
      </c>
      <c r="AT82" s="506"/>
      <c r="AU82" s="506"/>
      <c r="AV82" s="494"/>
      <c r="AW82" s="169">
        <v>56</v>
      </c>
      <c r="AX82" s="529"/>
      <c r="AY82" s="522"/>
      <c r="AZ82" s="524"/>
      <c r="BA82" s="524"/>
      <c r="BB82" s="524"/>
      <c r="BC82" s="524"/>
      <c r="BD82" s="524"/>
      <c r="BE82" s="524"/>
      <c r="BF82" s="524"/>
      <c r="BG82" s="530"/>
      <c r="BH82" s="424"/>
      <c r="BI82" s="424"/>
      <c r="BJ82" s="531" t="str">
        <f t="shared" si="2"/>
        <v/>
      </c>
      <c r="BK82" s="532" t="str">
        <f t="shared" si="3"/>
        <v/>
      </c>
      <c r="BL82" s="532" t="str">
        <f t="shared" si="24"/>
        <v/>
      </c>
      <c r="BM82" s="532" t="str">
        <f t="shared" si="25"/>
        <v/>
      </c>
      <c r="BN82" s="532" t="str">
        <f t="shared" si="26"/>
        <v/>
      </c>
      <c r="BO82" s="532" t="str">
        <f t="shared" si="4"/>
        <v/>
      </c>
      <c r="BP82" s="532" t="str">
        <f t="shared" si="5"/>
        <v/>
      </c>
      <c r="BQ82" s="532" t="str">
        <f t="shared" si="6"/>
        <v/>
      </c>
      <c r="BR82" s="532" t="str">
        <f t="shared" si="7"/>
        <v/>
      </c>
      <c r="BS82" s="532" t="str">
        <f t="shared" si="8"/>
        <v/>
      </c>
      <c r="BT82" s="532" t="str">
        <f t="shared" si="27"/>
        <v/>
      </c>
      <c r="BU82" s="532" t="str">
        <f t="shared" si="28"/>
        <v/>
      </c>
      <c r="BV82" s="532" t="str">
        <f t="shared" si="9"/>
        <v/>
      </c>
      <c r="BW82" s="532" t="str">
        <f t="shared" si="10"/>
        <v/>
      </c>
      <c r="BX82" s="532" t="str">
        <f t="shared" si="39"/>
        <v/>
      </c>
      <c r="BY82" s="532" t="str">
        <f t="shared" si="39"/>
        <v/>
      </c>
      <c r="BZ82" s="532" t="str">
        <f t="shared" si="39"/>
        <v/>
      </c>
      <c r="CA82" s="532" t="str">
        <f t="shared" si="29"/>
        <v/>
      </c>
      <c r="CB82" s="532" t="str">
        <f t="shared" si="12"/>
        <v/>
      </c>
      <c r="CC82" s="532" t="str">
        <f t="shared" si="30"/>
        <v/>
      </c>
      <c r="CD82" s="532" t="str">
        <f t="shared" si="31"/>
        <v/>
      </c>
      <c r="CE82" s="532" t="str">
        <f t="shared" si="13"/>
        <v/>
      </c>
      <c r="CF82" s="533" t="str">
        <f t="shared" si="14"/>
        <v/>
      </c>
      <c r="CG82" s="534" t="str">
        <f t="shared" si="32"/>
        <v/>
      </c>
      <c r="CH82" s="424"/>
      <c r="CI82" s="531" t="str">
        <f t="shared" si="33"/>
        <v/>
      </c>
      <c r="CJ82" s="534" t="str">
        <f t="shared" si="34"/>
        <v/>
      </c>
      <c r="CK82" s="424"/>
      <c r="CL82" s="531" t="str">
        <f t="shared" si="35"/>
        <v/>
      </c>
      <c r="CM82" s="534" t="str">
        <f t="shared" si="36"/>
        <v/>
      </c>
      <c r="CN82" s="424"/>
      <c r="CO82" s="531" t="str">
        <f t="shared" si="15"/>
        <v/>
      </c>
      <c r="CP82" s="532" t="str">
        <f t="shared" si="16"/>
        <v/>
      </c>
      <c r="CQ82" s="534" t="str">
        <f t="shared" si="17"/>
        <v/>
      </c>
      <c r="CR82" s="424"/>
      <c r="CS82" s="531" t="str">
        <f t="shared" si="18"/>
        <v/>
      </c>
      <c r="CT82" s="532" t="str">
        <f t="shared" si="19"/>
        <v/>
      </c>
      <c r="CU82" s="534" t="str">
        <f t="shared" si="20"/>
        <v/>
      </c>
      <c r="CW82" s="535" t="str">
        <f t="shared" si="37"/>
        <v/>
      </c>
      <c r="CX82" s="536">
        <f t="shared" si="38"/>
        <v>0</v>
      </c>
    </row>
    <row r="83" spans="2:102" s="410" customFormat="1" x14ac:dyDescent="0.2">
      <c r="B83" s="169">
        <v>57</v>
      </c>
      <c r="C83" s="517"/>
      <c r="D83" s="518"/>
      <c r="E83" s="519"/>
      <c r="F83" s="518"/>
      <c r="G83" s="518"/>
      <c r="H83" s="518"/>
      <c r="I83" s="518"/>
      <c r="J83" s="519"/>
      <c r="K83" s="520"/>
      <c r="L83" s="520"/>
      <c r="M83" s="520"/>
      <c r="N83" s="521" t="str">
        <f t="shared" si="21"/>
        <v/>
      </c>
      <c r="O83" s="522"/>
      <c r="P83" s="522"/>
      <c r="Q83" s="520"/>
      <c r="R83" s="522"/>
      <c r="S83" s="522"/>
      <c r="T83" s="523"/>
      <c r="U83" s="522"/>
      <c r="V83" s="519"/>
      <c r="W83" s="522"/>
      <c r="X83" s="523"/>
      <c r="Y83" s="522"/>
      <c r="Z83" s="522"/>
      <c r="AA83" s="522"/>
      <c r="AB83" s="522"/>
      <c r="AC83" s="524"/>
      <c r="AD83" s="525"/>
      <c r="AE83" s="525"/>
      <c r="AF83" s="522"/>
      <c r="AG83" s="522"/>
      <c r="AH83" s="522"/>
      <c r="AI83" s="522"/>
      <c r="AJ83" s="522"/>
      <c r="AK83" s="522"/>
      <c r="AL83" s="522"/>
      <c r="AM83" s="526"/>
      <c r="AN83" s="506"/>
      <c r="AO83" s="527" t="str">
        <f t="shared" si="0"/>
        <v/>
      </c>
      <c r="AP83" s="528" t="str">
        <f t="shared" si="22"/>
        <v/>
      </c>
      <c r="AQ83" s="506"/>
      <c r="AR83" s="527" t="str">
        <f t="shared" si="1"/>
        <v/>
      </c>
      <c r="AS83" s="528" t="str">
        <f t="shared" si="23"/>
        <v/>
      </c>
      <c r="AT83" s="506"/>
      <c r="AU83" s="506"/>
      <c r="AV83" s="494"/>
      <c r="AW83" s="169">
        <v>57</v>
      </c>
      <c r="AX83" s="529"/>
      <c r="AY83" s="522"/>
      <c r="AZ83" s="524"/>
      <c r="BA83" s="524"/>
      <c r="BB83" s="524"/>
      <c r="BC83" s="524"/>
      <c r="BD83" s="524"/>
      <c r="BE83" s="524"/>
      <c r="BF83" s="524"/>
      <c r="BG83" s="530"/>
      <c r="BH83" s="424"/>
      <c r="BI83" s="424"/>
      <c r="BJ83" s="531" t="str">
        <f t="shared" si="2"/>
        <v/>
      </c>
      <c r="BK83" s="532" t="str">
        <f t="shared" si="3"/>
        <v/>
      </c>
      <c r="BL83" s="532" t="str">
        <f t="shared" si="24"/>
        <v/>
      </c>
      <c r="BM83" s="532" t="str">
        <f t="shared" si="25"/>
        <v/>
      </c>
      <c r="BN83" s="532" t="str">
        <f t="shared" si="26"/>
        <v/>
      </c>
      <c r="BO83" s="532" t="str">
        <f t="shared" si="4"/>
        <v/>
      </c>
      <c r="BP83" s="532" t="str">
        <f t="shared" si="5"/>
        <v/>
      </c>
      <c r="BQ83" s="532" t="str">
        <f t="shared" si="6"/>
        <v/>
      </c>
      <c r="BR83" s="532" t="str">
        <f t="shared" si="7"/>
        <v/>
      </c>
      <c r="BS83" s="532" t="str">
        <f t="shared" si="8"/>
        <v/>
      </c>
      <c r="BT83" s="532" t="str">
        <f t="shared" si="27"/>
        <v/>
      </c>
      <c r="BU83" s="532" t="str">
        <f t="shared" si="28"/>
        <v/>
      </c>
      <c r="BV83" s="532" t="str">
        <f t="shared" si="9"/>
        <v/>
      </c>
      <c r="BW83" s="532" t="str">
        <f t="shared" si="10"/>
        <v/>
      </c>
      <c r="BX83" s="532" t="str">
        <f t="shared" si="39"/>
        <v/>
      </c>
      <c r="BY83" s="532" t="str">
        <f t="shared" si="39"/>
        <v/>
      </c>
      <c r="BZ83" s="532" t="str">
        <f t="shared" si="39"/>
        <v/>
      </c>
      <c r="CA83" s="532" t="str">
        <f t="shared" si="29"/>
        <v/>
      </c>
      <c r="CB83" s="532" t="str">
        <f t="shared" si="12"/>
        <v/>
      </c>
      <c r="CC83" s="532" t="str">
        <f t="shared" si="30"/>
        <v/>
      </c>
      <c r="CD83" s="532" t="str">
        <f t="shared" si="31"/>
        <v/>
      </c>
      <c r="CE83" s="532" t="str">
        <f t="shared" si="13"/>
        <v/>
      </c>
      <c r="CF83" s="533" t="str">
        <f t="shared" si="14"/>
        <v/>
      </c>
      <c r="CG83" s="534" t="str">
        <f t="shared" si="32"/>
        <v/>
      </c>
      <c r="CH83" s="424"/>
      <c r="CI83" s="531" t="str">
        <f t="shared" si="33"/>
        <v/>
      </c>
      <c r="CJ83" s="534" t="str">
        <f t="shared" si="34"/>
        <v/>
      </c>
      <c r="CK83" s="424"/>
      <c r="CL83" s="531" t="str">
        <f t="shared" si="35"/>
        <v/>
      </c>
      <c r="CM83" s="534" t="str">
        <f t="shared" si="36"/>
        <v/>
      </c>
      <c r="CN83" s="424"/>
      <c r="CO83" s="531" t="str">
        <f t="shared" si="15"/>
        <v/>
      </c>
      <c r="CP83" s="532" t="str">
        <f t="shared" si="16"/>
        <v/>
      </c>
      <c r="CQ83" s="534" t="str">
        <f t="shared" si="17"/>
        <v/>
      </c>
      <c r="CR83" s="424"/>
      <c r="CS83" s="531" t="str">
        <f t="shared" si="18"/>
        <v/>
      </c>
      <c r="CT83" s="532" t="str">
        <f t="shared" si="19"/>
        <v/>
      </c>
      <c r="CU83" s="534" t="str">
        <f t="shared" si="20"/>
        <v/>
      </c>
      <c r="CW83" s="535" t="str">
        <f t="shared" si="37"/>
        <v/>
      </c>
      <c r="CX83" s="536">
        <f t="shared" si="38"/>
        <v>0</v>
      </c>
    </row>
    <row r="84" spans="2:102" s="410" customFormat="1" x14ac:dyDescent="0.2">
      <c r="B84" s="169">
        <v>58</v>
      </c>
      <c r="C84" s="517"/>
      <c r="D84" s="518"/>
      <c r="E84" s="519"/>
      <c r="F84" s="518"/>
      <c r="G84" s="518"/>
      <c r="H84" s="518"/>
      <c r="I84" s="518"/>
      <c r="J84" s="519"/>
      <c r="K84" s="520"/>
      <c r="L84" s="520"/>
      <c r="M84" s="520"/>
      <c r="N84" s="521" t="str">
        <f t="shared" si="21"/>
        <v/>
      </c>
      <c r="O84" s="522"/>
      <c r="P84" s="522"/>
      <c r="Q84" s="520"/>
      <c r="R84" s="522"/>
      <c r="S84" s="522"/>
      <c r="T84" s="523"/>
      <c r="U84" s="522"/>
      <c r="V84" s="519"/>
      <c r="W84" s="522"/>
      <c r="X84" s="523"/>
      <c r="Y84" s="522"/>
      <c r="Z84" s="522"/>
      <c r="AA84" s="522"/>
      <c r="AB84" s="522"/>
      <c r="AC84" s="524"/>
      <c r="AD84" s="525"/>
      <c r="AE84" s="525"/>
      <c r="AF84" s="522"/>
      <c r="AG84" s="522"/>
      <c r="AH84" s="522"/>
      <c r="AI84" s="522"/>
      <c r="AJ84" s="522"/>
      <c r="AK84" s="522"/>
      <c r="AL84" s="522"/>
      <c r="AM84" s="526"/>
      <c r="AN84" s="506"/>
      <c r="AO84" s="527" t="str">
        <f t="shared" si="0"/>
        <v/>
      </c>
      <c r="AP84" s="528" t="str">
        <f t="shared" si="22"/>
        <v/>
      </c>
      <c r="AQ84" s="506"/>
      <c r="AR84" s="527" t="str">
        <f t="shared" si="1"/>
        <v/>
      </c>
      <c r="AS84" s="528" t="str">
        <f t="shared" si="23"/>
        <v/>
      </c>
      <c r="AT84" s="506"/>
      <c r="AU84" s="506"/>
      <c r="AV84" s="494"/>
      <c r="AW84" s="169">
        <v>58</v>
      </c>
      <c r="AX84" s="529"/>
      <c r="AY84" s="522"/>
      <c r="AZ84" s="524"/>
      <c r="BA84" s="524"/>
      <c r="BB84" s="524"/>
      <c r="BC84" s="524"/>
      <c r="BD84" s="524"/>
      <c r="BE84" s="524"/>
      <c r="BF84" s="524"/>
      <c r="BG84" s="530"/>
      <c r="BH84" s="424"/>
      <c r="BI84" s="424"/>
      <c r="BJ84" s="531" t="str">
        <f t="shared" si="2"/>
        <v/>
      </c>
      <c r="BK84" s="532" t="str">
        <f t="shared" si="3"/>
        <v/>
      </c>
      <c r="BL84" s="532" t="str">
        <f t="shared" si="24"/>
        <v/>
      </c>
      <c r="BM84" s="532" t="str">
        <f t="shared" si="25"/>
        <v/>
      </c>
      <c r="BN84" s="532" t="str">
        <f t="shared" si="26"/>
        <v/>
      </c>
      <c r="BO84" s="532" t="str">
        <f t="shared" si="4"/>
        <v/>
      </c>
      <c r="BP84" s="532" t="str">
        <f t="shared" si="5"/>
        <v/>
      </c>
      <c r="BQ84" s="532" t="str">
        <f t="shared" si="6"/>
        <v/>
      </c>
      <c r="BR84" s="532" t="str">
        <f t="shared" si="7"/>
        <v/>
      </c>
      <c r="BS84" s="532" t="str">
        <f t="shared" si="8"/>
        <v/>
      </c>
      <c r="BT84" s="532" t="str">
        <f t="shared" si="27"/>
        <v/>
      </c>
      <c r="BU84" s="532" t="str">
        <f t="shared" si="28"/>
        <v/>
      </c>
      <c r="BV84" s="532" t="str">
        <f t="shared" si="9"/>
        <v/>
      </c>
      <c r="BW84" s="532" t="str">
        <f t="shared" si="10"/>
        <v/>
      </c>
      <c r="BX84" s="532" t="str">
        <f t="shared" si="39"/>
        <v/>
      </c>
      <c r="BY84" s="532" t="str">
        <f t="shared" si="39"/>
        <v/>
      </c>
      <c r="BZ84" s="532" t="str">
        <f t="shared" si="39"/>
        <v/>
      </c>
      <c r="CA84" s="532" t="str">
        <f t="shared" si="29"/>
        <v/>
      </c>
      <c r="CB84" s="532" t="str">
        <f t="shared" si="12"/>
        <v/>
      </c>
      <c r="CC84" s="532" t="str">
        <f t="shared" si="30"/>
        <v/>
      </c>
      <c r="CD84" s="532" t="str">
        <f t="shared" si="31"/>
        <v/>
      </c>
      <c r="CE84" s="532" t="str">
        <f t="shared" si="13"/>
        <v/>
      </c>
      <c r="CF84" s="533" t="str">
        <f t="shared" si="14"/>
        <v/>
      </c>
      <c r="CG84" s="534" t="str">
        <f t="shared" si="32"/>
        <v/>
      </c>
      <c r="CH84" s="424"/>
      <c r="CI84" s="531" t="str">
        <f t="shared" si="33"/>
        <v/>
      </c>
      <c r="CJ84" s="534" t="str">
        <f t="shared" si="34"/>
        <v/>
      </c>
      <c r="CK84" s="424"/>
      <c r="CL84" s="531" t="str">
        <f t="shared" si="35"/>
        <v/>
      </c>
      <c r="CM84" s="534" t="str">
        <f t="shared" si="36"/>
        <v/>
      </c>
      <c r="CN84" s="424"/>
      <c r="CO84" s="531" t="str">
        <f t="shared" si="15"/>
        <v/>
      </c>
      <c r="CP84" s="532" t="str">
        <f t="shared" si="16"/>
        <v/>
      </c>
      <c r="CQ84" s="534" t="str">
        <f t="shared" si="17"/>
        <v/>
      </c>
      <c r="CR84" s="424"/>
      <c r="CS84" s="531" t="str">
        <f t="shared" si="18"/>
        <v/>
      </c>
      <c r="CT84" s="532" t="str">
        <f t="shared" si="19"/>
        <v/>
      </c>
      <c r="CU84" s="534" t="str">
        <f t="shared" si="20"/>
        <v/>
      </c>
      <c r="CW84" s="535" t="str">
        <f t="shared" si="37"/>
        <v/>
      </c>
      <c r="CX84" s="536">
        <f t="shared" si="38"/>
        <v>0</v>
      </c>
    </row>
    <row r="85" spans="2:102" s="410" customFormat="1" x14ac:dyDescent="0.2">
      <c r="B85" s="169">
        <v>59</v>
      </c>
      <c r="C85" s="517"/>
      <c r="D85" s="518"/>
      <c r="E85" s="519"/>
      <c r="F85" s="518"/>
      <c r="G85" s="518"/>
      <c r="H85" s="518"/>
      <c r="I85" s="518"/>
      <c r="J85" s="519"/>
      <c r="K85" s="520"/>
      <c r="L85" s="520"/>
      <c r="M85" s="520"/>
      <c r="N85" s="521" t="str">
        <f t="shared" si="21"/>
        <v/>
      </c>
      <c r="O85" s="522"/>
      <c r="P85" s="522"/>
      <c r="Q85" s="520"/>
      <c r="R85" s="522"/>
      <c r="S85" s="522"/>
      <c r="T85" s="523"/>
      <c r="U85" s="522"/>
      <c r="V85" s="519"/>
      <c r="W85" s="522"/>
      <c r="X85" s="523"/>
      <c r="Y85" s="522"/>
      <c r="Z85" s="522"/>
      <c r="AA85" s="522"/>
      <c r="AB85" s="522"/>
      <c r="AC85" s="524"/>
      <c r="AD85" s="525"/>
      <c r="AE85" s="525"/>
      <c r="AF85" s="522"/>
      <c r="AG85" s="522"/>
      <c r="AH85" s="522"/>
      <c r="AI85" s="522"/>
      <c r="AJ85" s="522"/>
      <c r="AK85" s="522"/>
      <c r="AL85" s="522"/>
      <c r="AM85" s="526"/>
      <c r="AN85" s="506"/>
      <c r="AO85" s="527" t="str">
        <f t="shared" si="0"/>
        <v/>
      </c>
      <c r="AP85" s="528" t="str">
        <f t="shared" si="22"/>
        <v/>
      </c>
      <c r="AQ85" s="506"/>
      <c r="AR85" s="527" t="str">
        <f t="shared" si="1"/>
        <v/>
      </c>
      <c r="AS85" s="528" t="str">
        <f t="shared" si="23"/>
        <v/>
      </c>
      <c r="AT85" s="506"/>
      <c r="AU85" s="506"/>
      <c r="AV85" s="494"/>
      <c r="AW85" s="169">
        <v>59</v>
      </c>
      <c r="AX85" s="529"/>
      <c r="AY85" s="522"/>
      <c r="AZ85" s="524"/>
      <c r="BA85" s="524"/>
      <c r="BB85" s="524"/>
      <c r="BC85" s="524"/>
      <c r="BD85" s="524"/>
      <c r="BE85" s="524"/>
      <c r="BF85" s="524"/>
      <c r="BG85" s="530"/>
      <c r="BH85" s="424"/>
      <c r="BI85" s="424"/>
      <c r="BJ85" s="531" t="str">
        <f t="shared" si="2"/>
        <v/>
      </c>
      <c r="BK85" s="532" t="str">
        <f t="shared" si="3"/>
        <v/>
      </c>
      <c r="BL85" s="532" t="str">
        <f t="shared" si="24"/>
        <v/>
      </c>
      <c r="BM85" s="532" t="str">
        <f t="shared" si="25"/>
        <v/>
      </c>
      <c r="BN85" s="532" t="str">
        <f t="shared" si="26"/>
        <v/>
      </c>
      <c r="BO85" s="532" t="str">
        <f t="shared" si="4"/>
        <v/>
      </c>
      <c r="BP85" s="532" t="str">
        <f t="shared" si="5"/>
        <v/>
      </c>
      <c r="BQ85" s="532" t="str">
        <f t="shared" si="6"/>
        <v/>
      </c>
      <c r="BR85" s="532" t="str">
        <f t="shared" si="7"/>
        <v/>
      </c>
      <c r="BS85" s="532" t="str">
        <f t="shared" si="8"/>
        <v/>
      </c>
      <c r="BT85" s="532" t="str">
        <f t="shared" si="27"/>
        <v/>
      </c>
      <c r="BU85" s="532" t="str">
        <f t="shared" si="28"/>
        <v/>
      </c>
      <c r="BV85" s="532" t="str">
        <f t="shared" si="9"/>
        <v/>
      </c>
      <c r="BW85" s="532" t="str">
        <f t="shared" si="10"/>
        <v/>
      </c>
      <c r="BX85" s="532" t="str">
        <f t="shared" si="39"/>
        <v/>
      </c>
      <c r="BY85" s="532" t="str">
        <f t="shared" si="39"/>
        <v/>
      </c>
      <c r="BZ85" s="532" t="str">
        <f t="shared" si="39"/>
        <v/>
      </c>
      <c r="CA85" s="532" t="str">
        <f t="shared" si="29"/>
        <v/>
      </c>
      <c r="CB85" s="532" t="str">
        <f t="shared" si="12"/>
        <v/>
      </c>
      <c r="CC85" s="532" t="str">
        <f t="shared" si="30"/>
        <v/>
      </c>
      <c r="CD85" s="532" t="str">
        <f t="shared" si="31"/>
        <v/>
      </c>
      <c r="CE85" s="532" t="str">
        <f t="shared" si="13"/>
        <v/>
      </c>
      <c r="CF85" s="533" t="str">
        <f t="shared" si="14"/>
        <v/>
      </c>
      <c r="CG85" s="534" t="str">
        <f t="shared" si="32"/>
        <v/>
      </c>
      <c r="CH85" s="424"/>
      <c r="CI85" s="531" t="str">
        <f t="shared" si="33"/>
        <v/>
      </c>
      <c r="CJ85" s="534" t="str">
        <f t="shared" si="34"/>
        <v/>
      </c>
      <c r="CK85" s="424"/>
      <c r="CL85" s="531" t="str">
        <f t="shared" si="35"/>
        <v/>
      </c>
      <c r="CM85" s="534" t="str">
        <f t="shared" si="36"/>
        <v/>
      </c>
      <c r="CN85" s="424"/>
      <c r="CO85" s="531" t="str">
        <f t="shared" si="15"/>
        <v/>
      </c>
      <c r="CP85" s="532" t="str">
        <f t="shared" si="16"/>
        <v/>
      </c>
      <c r="CQ85" s="534" t="str">
        <f t="shared" si="17"/>
        <v/>
      </c>
      <c r="CR85" s="424"/>
      <c r="CS85" s="531" t="str">
        <f t="shared" si="18"/>
        <v/>
      </c>
      <c r="CT85" s="532" t="str">
        <f t="shared" si="19"/>
        <v/>
      </c>
      <c r="CU85" s="534" t="str">
        <f t="shared" si="20"/>
        <v/>
      </c>
      <c r="CW85" s="535" t="str">
        <f t="shared" si="37"/>
        <v/>
      </c>
      <c r="CX85" s="536">
        <f t="shared" si="38"/>
        <v>0</v>
      </c>
    </row>
    <row r="86" spans="2:102" s="410" customFormat="1" x14ac:dyDescent="0.2">
      <c r="B86" s="169">
        <v>60</v>
      </c>
      <c r="C86" s="517"/>
      <c r="D86" s="518"/>
      <c r="E86" s="519"/>
      <c r="F86" s="518"/>
      <c r="G86" s="518"/>
      <c r="H86" s="518"/>
      <c r="I86" s="518"/>
      <c r="J86" s="519"/>
      <c r="K86" s="520"/>
      <c r="L86" s="520"/>
      <c r="M86" s="520"/>
      <c r="N86" s="521" t="str">
        <f t="shared" si="21"/>
        <v/>
      </c>
      <c r="O86" s="522"/>
      <c r="P86" s="522"/>
      <c r="Q86" s="520"/>
      <c r="R86" s="522"/>
      <c r="S86" s="522"/>
      <c r="T86" s="523"/>
      <c r="U86" s="522"/>
      <c r="V86" s="519"/>
      <c r="W86" s="522"/>
      <c r="X86" s="523"/>
      <c r="Y86" s="522"/>
      <c r="Z86" s="522"/>
      <c r="AA86" s="522"/>
      <c r="AB86" s="522"/>
      <c r="AC86" s="524"/>
      <c r="AD86" s="525"/>
      <c r="AE86" s="525"/>
      <c r="AF86" s="522"/>
      <c r="AG86" s="522"/>
      <c r="AH86" s="522"/>
      <c r="AI86" s="522"/>
      <c r="AJ86" s="522"/>
      <c r="AK86" s="522"/>
      <c r="AL86" s="522"/>
      <c r="AM86" s="526"/>
      <c r="AN86" s="506"/>
      <c r="AO86" s="527" t="str">
        <f t="shared" si="0"/>
        <v/>
      </c>
      <c r="AP86" s="528" t="str">
        <f t="shared" si="22"/>
        <v/>
      </c>
      <c r="AQ86" s="506"/>
      <c r="AR86" s="527" t="str">
        <f t="shared" si="1"/>
        <v/>
      </c>
      <c r="AS86" s="528" t="str">
        <f t="shared" si="23"/>
        <v/>
      </c>
      <c r="AT86" s="506"/>
      <c r="AU86" s="506"/>
      <c r="AV86" s="494"/>
      <c r="AW86" s="169">
        <v>60</v>
      </c>
      <c r="AX86" s="529"/>
      <c r="AY86" s="522"/>
      <c r="AZ86" s="524"/>
      <c r="BA86" s="524"/>
      <c r="BB86" s="524"/>
      <c r="BC86" s="524"/>
      <c r="BD86" s="524"/>
      <c r="BE86" s="524"/>
      <c r="BF86" s="524"/>
      <c r="BG86" s="530"/>
      <c r="BH86" s="424"/>
      <c r="BI86" s="424"/>
      <c r="BJ86" s="531" t="str">
        <f t="shared" si="2"/>
        <v/>
      </c>
      <c r="BK86" s="532" t="str">
        <f t="shared" si="3"/>
        <v/>
      </c>
      <c r="BL86" s="532" t="str">
        <f t="shared" si="24"/>
        <v/>
      </c>
      <c r="BM86" s="532" t="str">
        <f t="shared" si="25"/>
        <v/>
      </c>
      <c r="BN86" s="532" t="str">
        <f t="shared" si="26"/>
        <v/>
      </c>
      <c r="BO86" s="532" t="str">
        <f t="shared" si="4"/>
        <v/>
      </c>
      <c r="BP86" s="532" t="str">
        <f t="shared" si="5"/>
        <v/>
      </c>
      <c r="BQ86" s="532" t="str">
        <f t="shared" si="6"/>
        <v/>
      </c>
      <c r="BR86" s="532" t="str">
        <f t="shared" si="7"/>
        <v/>
      </c>
      <c r="BS86" s="532" t="str">
        <f t="shared" si="8"/>
        <v/>
      </c>
      <c r="BT86" s="532" t="str">
        <f t="shared" si="27"/>
        <v/>
      </c>
      <c r="BU86" s="532" t="str">
        <f t="shared" si="28"/>
        <v/>
      </c>
      <c r="BV86" s="532" t="str">
        <f t="shared" si="9"/>
        <v/>
      </c>
      <c r="BW86" s="532" t="str">
        <f t="shared" si="10"/>
        <v/>
      </c>
      <c r="BX86" s="532" t="str">
        <f t="shared" si="39"/>
        <v/>
      </c>
      <c r="BY86" s="532" t="str">
        <f t="shared" si="39"/>
        <v/>
      </c>
      <c r="BZ86" s="532" t="str">
        <f t="shared" si="39"/>
        <v/>
      </c>
      <c r="CA86" s="532" t="str">
        <f t="shared" si="29"/>
        <v/>
      </c>
      <c r="CB86" s="532" t="str">
        <f t="shared" si="12"/>
        <v/>
      </c>
      <c r="CC86" s="532" t="str">
        <f t="shared" si="30"/>
        <v/>
      </c>
      <c r="CD86" s="532" t="str">
        <f t="shared" si="31"/>
        <v/>
      </c>
      <c r="CE86" s="532" t="str">
        <f t="shared" si="13"/>
        <v/>
      </c>
      <c r="CF86" s="533" t="str">
        <f t="shared" si="14"/>
        <v/>
      </c>
      <c r="CG86" s="534" t="str">
        <f t="shared" si="32"/>
        <v/>
      </c>
      <c r="CH86" s="424"/>
      <c r="CI86" s="531" t="str">
        <f t="shared" si="33"/>
        <v/>
      </c>
      <c r="CJ86" s="534" t="str">
        <f t="shared" si="34"/>
        <v/>
      </c>
      <c r="CK86" s="424"/>
      <c r="CL86" s="531" t="str">
        <f t="shared" si="35"/>
        <v/>
      </c>
      <c r="CM86" s="534" t="str">
        <f t="shared" si="36"/>
        <v/>
      </c>
      <c r="CN86" s="424"/>
      <c r="CO86" s="531" t="str">
        <f t="shared" si="15"/>
        <v/>
      </c>
      <c r="CP86" s="532" t="str">
        <f t="shared" si="16"/>
        <v/>
      </c>
      <c r="CQ86" s="534" t="str">
        <f t="shared" si="17"/>
        <v/>
      </c>
      <c r="CR86" s="424"/>
      <c r="CS86" s="531" t="str">
        <f t="shared" si="18"/>
        <v/>
      </c>
      <c r="CT86" s="532" t="str">
        <f t="shared" si="19"/>
        <v/>
      </c>
      <c r="CU86" s="534" t="str">
        <f t="shared" si="20"/>
        <v/>
      </c>
      <c r="CW86" s="535" t="str">
        <f t="shared" si="37"/>
        <v/>
      </c>
      <c r="CX86" s="536">
        <f t="shared" si="38"/>
        <v>0</v>
      </c>
    </row>
    <row r="87" spans="2:102" s="410" customFormat="1" x14ac:dyDescent="0.2">
      <c r="B87" s="169">
        <v>61</v>
      </c>
      <c r="C87" s="517"/>
      <c r="D87" s="518"/>
      <c r="E87" s="519"/>
      <c r="F87" s="518"/>
      <c r="G87" s="518"/>
      <c r="H87" s="518"/>
      <c r="I87" s="518"/>
      <c r="J87" s="519"/>
      <c r="K87" s="520"/>
      <c r="L87" s="520"/>
      <c r="M87" s="520"/>
      <c r="N87" s="521" t="str">
        <f t="shared" si="21"/>
        <v/>
      </c>
      <c r="O87" s="522"/>
      <c r="P87" s="522"/>
      <c r="Q87" s="520"/>
      <c r="R87" s="522"/>
      <c r="S87" s="522"/>
      <c r="T87" s="523"/>
      <c r="U87" s="522"/>
      <c r="V87" s="519"/>
      <c r="W87" s="522"/>
      <c r="X87" s="523"/>
      <c r="Y87" s="522"/>
      <c r="Z87" s="522"/>
      <c r="AA87" s="522"/>
      <c r="AB87" s="522"/>
      <c r="AC87" s="524"/>
      <c r="AD87" s="525"/>
      <c r="AE87" s="525"/>
      <c r="AF87" s="522"/>
      <c r="AG87" s="522"/>
      <c r="AH87" s="522"/>
      <c r="AI87" s="522"/>
      <c r="AJ87" s="522"/>
      <c r="AK87" s="522"/>
      <c r="AL87" s="522"/>
      <c r="AM87" s="526"/>
      <c r="AN87" s="506"/>
      <c r="AO87" s="527" t="str">
        <f t="shared" si="0"/>
        <v/>
      </c>
      <c r="AP87" s="528" t="str">
        <f t="shared" si="22"/>
        <v/>
      </c>
      <c r="AQ87" s="506"/>
      <c r="AR87" s="527" t="str">
        <f t="shared" si="1"/>
        <v/>
      </c>
      <c r="AS87" s="528" t="str">
        <f t="shared" si="23"/>
        <v/>
      </c>
      <c r="AT87" s="506"/>
      <c r="AU87" s="506"/>
      <c r="AV87" s="494"/>
      <c r="AW87" s="169">
        <v>61</v>
      </c>
      <c r="AX87" s="529"/>
      <c r="AY87" s="522"/>
      <c r="AZ87" s="524"/>
      <c r="BA87" s="524"/>
      <c r="BB87" s="524"/>
      <c r="BC87" s="524"/>
      <c r="BD87" s="524"/>
      <c r="BE87" s="524"/>
      <c r="BF87" s="524"/>
      <c r="BG87" s="530"/>
      <c r="BH87" s="424"/>
      <c r="BI87" s="424"/>
      <c r="BJ87" s="531" t="str">
        <f t="shared" si="2"/>
        <v/>
      </c>
      <c r="BK87" s="532" t="str">
        <f t="shared" si="3"/>
        <v/>
      </c>
      <c r="BL87" s="532" t="str">
        <f t="shared" si="24"/>
        <v/>
      </c>
      <c r="BM87" s="532" t="str">
        <f t="shared" si="25"/>
        <v/>
      </c>
      <c r="BN87" s="532" t="str">
        <f t="shared" si="26"/>
        <v/>
      </c>
      <c r="BO87" s="532" t="str">
        <f t="shared" si="4"/>
        <v/>
      </c>
      <c r="BP87" s="532" t="str">
        <f t="shared" si="5"/>
        <v/>
      </c>
      <c r="BQ87" s="532" t="str">
        <f t="shared" si="6"/>
        <v/>
      </c>
      <c r="BR87" s="532" t="str">
        <f t="shared" si="7"/>
        <v/>
      </c>
      <c r="BS87" s="532" t="str">
        <f t="shared" si="8"/>
        <v/>
      </c>
      <c r="BT87" s="532" t="str">
        <f t="shared" si="27"/>
        <v/>
      </c>
      <c r="BU87" s="532" t="str">
        <f t="shared" si="28"/>
        <v/>
      </c>
      <c r="BV87" s="532" t="str">
        <f t="shared" si="9"/>
        <v/>
      </c>
      <c r="BW87" s="532" t="str">
        <f t="shared" si="10"/>
        <v/>
      </c>
      <c r="BX87" s="532" t="str">
        <f t="shared" si="39"/>
        <v/>
      </c>
      <c r="BY87" s="532" t="str">
        <f t="shared" si="39"/>
        <v/>
      </c>
      <c r="BZ87" s="532" t="str">
        <f t="shared" si="39"/>
        <v/>
      </c>
      <c r="CA87" s="532" t="str">
        <f t="shared" si="29"/>
        <v/>
      </c>
      <c r="CB87" s="532" t="str">
        <f t="shared" si="12"/>
        <v/>
      </c>
      <c r="CC87" s="532" t="str">
        <f t="shared" si="30"/>
        <v/>
      </c>
      <c r="CD87" s="532" t="str">
        <f t="shared" si="31"/>
        <v/>
      </c>
      <c r="CE87" s="532" t="str">
        <f t="shared" si="13"/>
        <v/>
      </c>
      <c r="CF87" s="533" t="str">
        <f t="shared" si="14"/>
        <v/>
      </c>
      <c r="CG87" s="534" t="str">
        <f t="shared" si="32"/>
        <v/>
      </c>
      <c r="CH87" s="424"/>
      <c r="CI87" s="531" t="str">
        <f t="shared" si="33"/>
        <v/>
      </c>
      <c r="CJ87" s="534" t="str">
        <f t="shared" si="34"/>
        <v/>
      </c>
      <c r="CK87" s="424"/>
      <c r="CL87" s="531" t="str">
        <f t="shared" si="35"/>
        <v/>
      </c>
      <c r="CM87" s="534" t="str">
        <f t="shared" si="36"/>
        <v/>
      </c>
      <c r="CN87" s="424"/>
      <c r="CO87" s="531" t="str">
        <f t="shared" si="15"/>
        <v/>
      </c>
      <c r="CP87" s="532" t="str">
        <f t="shared" si="16"/>
        <v/>
      </c>
      <c r="CQ87" s="534" t="str">
        <f t="shared" si="17"/>
        <v/>
      </c>
      <c r="CR87" s="424"/>
      <c r="CS87" s="531" t="str">
        <f t="shared" si="18"/>
        <v/>
      </c>
      <c r="CT87" s="532" t="str">
        <f t="shared" si="19"/>
        <v/>
      </c>
      <c r="CU87" s="534" t="str">
        <f t="shared" si="20"/>
        <v/>
      </c>
      <c r="CW87" s="535" t="str">
        <f t="shared" si="37"/>
        <v/>
      </c>
      <c r="CX87" s="536">
        <f t="shared" si="38"/>
        <v>0</v>
      </c>
    </row>
    <row r="88" spans="2:102" s="410" customFormat="1" x14ac:dyDescent="0.2">
      <c r="B88" s="169">
        <v>62</v>
      </c>
      <c r="C88" s="517"/>
      <c r="D88" s="518"/>
      <c r="E88" s="519"/>
      <c r="F88" s="518"/>
      <c r="G88" s="518"/>
      <c r="H88" s="518"/>
      <c r="I88" s="518"/>
      <c r="J88" s="519"/>
      <c r="K88" s="520"/>
      <c r="L88" s="520"/>
      <c r="M88" s="520"/>
      <c r="N88" s="521" t="str">
        <f t="shared" si="21"/>
        <v/>
      </c>
      <c r="O88" s="522"/>
      <c r="P88" s="522"/>
      <c r="Q88" s="520"/>
      <c r="R88" s="522"/>
      <c r="S88" s="522"/>
      <c r="T88" s="523"/>
      <c r="U88" s="522"/>
      <c r="V88" s="519"/>
      <c r="W88" s="522"/>
      <c r="X88" s="523"/>
      <c r="Y88" s="522"/>
      <c r="Z88" s="522"/>
      <c r="AA88" s="522"/>
      <c r="AB88" s="522"/>
      <c r="AC88" s="524"/>
      <c r="AD88" s="525"/>
      <c r="AE88" s="525"/>
      <c r="AF88" s="522"/>
      <c r="AG88" s="522"/>
      <c r="AH88" s="522"/>
      <c r="AI88" s="522"/>
      <c r="AJ88" s="522"/>
      <c r="AK88" s="522"/>
      <c r="AL88" s="522"/>
      <c r="AM88" s="526"/>
      <c r="AN88" s="506"/>
      <c r="AO88" s="527" t="str">
        <f t="shared" si="0"/>
        <v/>
      </c>
      <c r="AP88" s="528" t="str">
        <f t="shared" si="22"/>
        <v/>
      </c>
      <c r="AQ88" s="506"/>
      <c r="AR88" s="527" t="str">
        <f t="shared" si="1"/>
        <v/>
      </c>
      <c r="AS88" s="528" t="str">
        <f t="shared" si="23"/>
        <v/>
      </c>
      <c r="AT88" s="506"/>
      <c r="AU88" s="506"/>
      <c r="AV88" s="494"/>
      <c r="AW88" s="169">
        <v>62</v>
      </c>
      <c r="AX88" s="529"/>
      <c r="AY88" s="522"/>
      <c r="AZ88" s="524"/>
      <c r="BA88" s="524"/>
      <c r="BB88" s="524"/>
      <c r="BC88" s="524"/>
      <c r="BD88" s="524"/>
      <c r="BE88" s="524"/>
      <c r="BF88" s="524"/>
      <c r="BG88" s="530"/>
      <c r="BH88" s="424"/>
      <c r="BI88" s="424"/>
      <c r="BJ88" s="531" t="str">
        <f t="shared" si="2"/>
        <v/>
      </c>
      <c r="BK88" s="532" t="str">
        <f t="shared" si="3"/>
        <v/>
      </c>
      <c r="BL88" s="532" t="str">
        <f t="shared" si="24"/>
        <v/>
      </c>
      <c r="BM88" s="532" t="str">
        <f t="shared" si="25"/>
        <v/>
      </c>
      <c r="BN88" s="532" t="str">
        <f t="shared" si="26"/>
        <v/>
      </c>
      <c r="BO88" s="532" t="str">
        <f t="shared" si="4"/>
        <v/>
      </c>
      <c r="BP88" s="532" t="str">
        <f t="shared" si="5"/>
        <v/>
      </c>
      <c r="BQ88" s="532" t="str">
        <f t="shared" si="6"/>
        <v/>
      </c>
      <c r="BR88" s="532" t="str">
        <f t="shared" si="7"/>
        <v/>
      </c>
      <c r="BS88" s="532" t="str">
        <f t="shared" si="8"/>
        <v/>
      </c>
      <c r="BT88" s="532" t="str">
        <f t="shared" si="27"/>
        <v/>
      </c>
      <c r="BU88" s="532" t="str">
        <f t="shared" si="28"/>
        <v/>
      </c>
      <c r="BV88" s="532" t="str">
        <f t="shared" si="9"/>
        <v/>
      </c>
      <c r="BW88" s="532" t="str">
        <f t="shared" si="10"/>
        <v/>
      </c>
      <c r="BX88" s="532" t="str">
        <f t="shared" si="39"/>
        <v/>
      </c>
      <c r="BY88" s="532" t="str">
        <f t="shared" si="39"/>
        <v/>
      </c>
      <c r="BZ88" s="532" t="str">
        <f t="shared" si="39"/>
        <v/>
      </c>
      <c r="CA88" s="532" t="str">
        <f t="shared" si="29"/>
        <v/>
      </c>
      <c r="CB88" s="532" t="str">
        <f t="shared" si="12"/>
        <v/>
      </c>
      <c r="CC88" s="532" t="str">
        <f t="shared" si="30"/>
        <v/>
      </c>
      <c r="CD88" s="532" t="str">
        <f t="shared" si="31"/>
        <v/>
      </c>
      <c r="CE88" s="532" t="str">
        <f t="shared" si="13"/>
        <v/>
      </c>
      <c r="CF88" s="533" t="str">
        <f t="shared" si="14"/>
        <v/>
      </c>
      <c r="CG88" s="534" t="str">
        <f t="shared" si="32"/>
        <v/>
      </c>
      <c r="CH88" s="424"/>
      <c r="CI88" s="531" t="str">
        <f t="shared" si="33"/>
        <v/>
      </c>
      <c r="CJ88" s="534" t="str">
        <f t="shared" si="34"/>
        <v/>
      </c>
      <c r="CK88" s="424"/>
      <c r="CL88" s="531" t="str">
        <f t="shared" si="35"/>
        <v/>
      </c>
      <c r="CM88" s="534" t="str">
        <f t="shared" si="36"/>
        <v/>
      </c>
      <c r="CN88" s="424"/>
      <c r="CO88" s="531" t="str">
        <f t="shared" si="15"/>
        <v/>
      </c>
      <c r="CP88" s="532" t="str">
        <f t="shared" si="16"/>
        <v/>
      </c>
      <c r="CQ88" s="534" t="str">
        <f t="shared" si="17"/>
        <v/>
      </c>
      <c r="CR88" s="424"/>
      <c r="CS88" s="531" t="str">
        <f t="shared" si="18"/>
        <v/>
      </c>
      <c r="CT88" s="532" t="str">
        <f t="shared" si="19"/>
        <v/>
      </c>
      <c r="CU88" s="534" t="str">
        <f t="shared" si="20"/>
        <v/>
      </c>
      <c r="CW88" s="535" t="str">
        <f t="shared" si="37"/>
        <v/>
      </c>
      <c r="CX88" s="536">
        <f t="shared" si="38"/>
        <v>0</v>
      </c>
    </row>
    <row r="89" spans="2:102" s="410" customFormat="1" x14ac:dyDescent="0.2">
      <c r="B89" s="169">
        <v>63</v>
      </c>
      <c r="C89" s="517"/>
      <c r="D89" s="518"/>
      <c r="E89" s="519"/>
      <c r="F89" s="518"/>
      <c r="G89" s="518"/>
      <c r="H89" s="518"/>
      <c r="I89" s="518"/>
      <c r="J89" s="519"/>
      <c r="K89" s="520"/>
      <c r="L89" s="520"/>
      <c r="M89" s="520"/>
      <c r="N89" s="521" t="str">
        <f t="shared" si="21"/>
        <v/>
      </c>
      <c r="O89" s="522"/>
      <c r="P89" s="522"/>
      <c r="Q89" s="520"/>
      <c r="R89" s="522"/>
      <c r="S89" s="522"/>
      <c r="T89" s="523"/>
      <c r="U89" s="522"/>
      <c r="V89" s="519"/>
      <c r="W89" s="522"/>
      <c r="X89" s="523"/>
      <c r="Y89" s="522"/>
      <c r="Z89" s="522"/>
      <c r="AA89" s="522"/>
      <c r="AB89" s="522"/>
      <c r="AC89" s="524"/>
      <c r="AD89" s="525"/>
      <c r="AE89" s="525"/>
      <c r="AF89" s="522"/>
      <c r="AG89" s="522"/>
      <c r="AH89" s="522"/>
      <c r="AI89" s="522"/>
      <c r="AJ89" s="522"/>
      <c r="AK89" s="522"/>
      <c r="AL89" s="522"/>
      <c r="AM89" s="526"/>
      <c r="AN89" s="506"/>
      <c r="AO89" s="527" t="str">
        <f t="shared" si="0"/>
        <v/>
      </c>
      <c r="AP89" s="528" t="str">
        <f t="shared" si="22"/>
        <v/>
      </c>
      <c r="AQ89" s="506"/>
      <c r="AR89" s="527" t="str">
        <f t="shared" si="1"/>
        <v/>
      </c>
      <c r="AS89" s="528" t="str">
        <f t="shared" si="23"/>
        <v/>
      </c>
      <c r="AT89" s="506"/>
      <c r="AU89" s="506"/>
      <c r="AV89" s="494"/>
      <c r="AW89" s="169">
        <v>63</v>
      </c>
      <c r="AX89" s="529"/>
      <c r="AY89" s="522"/>
      <c r="AZ89" s="524"/>
      <c r="BA89" s="524"/>
      <c r="BB89" s="524"/>
      <c r="BC89" s="524"/>
      <c r="BD89" s="524"/>
      <c r="BE89" s="524"/>
      <c r="BF89" s="524"/>
      <c r="BG89" s="530"/>
      <c r="BH89" s="424"/>
      <c r="BI89" s="424"/>
      <c r="BJ89" s="531" t="str">
        <f t="shared" si="2"/>
        <v/>
      </c>
      <c r="BK89" s="532" t="str">
        <f t="shared" si="3"/>
        <v/>
      </c>
      <c r="BL89" s="532" t="str">
        <f t="shared" si="24"/>
        <v/>
      </c>
      <c r="BM89" s="532" t="str">
        <f t="shared" si="25"/>
        <v/>
      </c>
      <c r="BN89" s="532" t="str">
        <f t="shared" si="26"/>
        <v/>
      </c>
      <c r="BO89" s="532" t="str">
        <f t="shared" si="4"/>
        <v/>
      </c>
      <c r="BP89" s="532" t="str">
        <f t="shared" si="5"/>
        <v/>
      </c>
      <c r="BQ89" s="532" t="str">
        <f t="shared" si="6"/>
        <v/>
      </c>
      <c r="BR89" s="532" t="str">
        <f t="shared" si="7"/>
        <v/>
      </c>
      <c r="BS89" s="532" t="str">
        <f t="shared" si="8"/>
        <v/>
      </c>
      <c r="BT89" s="532" t="str">
        <f t="shared" si="27"/>
        <v/>
      </c>
      <c r="BU89" s="532" t="str">
        <f t="shared" si="28"/>
        <v/>
      </c>
      <c r="BV89" s="532" t="str">
        <f t="shared" si="9"/>
        <v/>
      </c>
      <c r="BW89" s="532" t="str">
        <f t="shared" si="10"/>
        <v/>
      </c>
      <c r="BX89" s="532" t="str">
        <f t="shared" si="39"/>
        <v/>
      </c>
      <c r="BY89" s="532" t="str">
        <f t="shared" si="39"/>
        <v/>
      </c>
      <c r="BZ89" s="532" t="str">
        <f t="shared" si="39"/>
        <v/>
      </c>
      <c r="CA89" s="532" t="str">
        <f t="shared" si="29"/>
        <v/>
      </c>
      <c r="CB89" s="532" t="str">
        <f t="shared" si="12"/>
        <v/>
      </c>
      <c r="CC89" s="532" t="str">
        <f t="shared" si="30"/>
        <v/>
      </c>
      <c r="CD89" s="532" t="str">
        <f t="shared" si="31"/>
        <v/>
      </c>
      <c r="CE89" s="532" t="str">
        <f t="shared" si="13"/>
        <v/>
      </c>
      <c r="CF89" s="533" t="str">
        <f t="shared" si="14"/>
        <v/>
      </c>
      <c r="CG89" s="534" t="str">
        <f t="shared" si="32"/>
        <v/>
      </c>
      <c r="CH89" s="424"/>
      <c r="CI89" s="531" t="str">
        <f t="shared" si="33"/>
        <v/>
      </c>
      <c r="CJ89" s="534" t="str">
        <f t="shared" si="34"/>
        <v/>
      </c>
      <c r="CK89" s="424"/>
      <c r="CL89" s="531" t="str">
        <f t="shared" si="35"/>
        <v/>
      </c>
      <c r="CM89" s="534" t="str">
        <f t="shared" si="36"/>
        <v/>
      </c>
      <c r="CN89" s="424"/>
      <c r="CO89" s="531" t="str">
        <f t="shared" si="15"/>
        <v/>
      </c>
      <c r="CP89" s="532" t="str">
        <f t="shared" si="16"/>
        <v/>
      </c>
      <c r="CQ89" s="534" t="str">
        <f t="shared" si="17"/>
        <v/>
      </c>
      <c r="CR89" s="424"/>
      <c r="CS89" s="531" t="str">
        <f t="shared" si="18"/>
        <v/>
      </c>
      <c r="CT89" s="532" t="str">
        <f t="shared" si="19"/>
        <v/>
      </c>
      <c r="CU89" s="534" t="str">
        <f t="shared" si="20"/>
        <v/>
      </c>
      <c r="CW89" s="535" t="str">
        <f t="shared" si="37"/>
        <v/>
      </c>
      <c r="CX89" s="536">
        <f t="shared" si="38"/>
        <v>0</v>
      </c>
    </row>
    <row r="90" spans="2:102" s="410" customFormat="1" x14ac:dyDescent="0.2">
      <c r="B90" s="169">
        <v>64</v>
      </c>
      <c r="C90" s="517"/>
      <c r="D90" s="518"/>
      <c r="E90" s="519"/>
      <c r="F90" s="518"/>
      <c r="G90" s="518"/>
      <c r="H90" s="518"/>
      <c r="I90" s="518"/>
      <c r="J90" s="519"/>
      <c r="K90" s="520"/>
      <c r="L90" s="520"/>
      <c r="M90" s="520"/>
      <c r="N90" s="521" t="str">
        <f t="shared" si="21"/>
        <v/>
      </c>
      <c r="O90" s="522"/>
      <c r="P90" s="522"/>
      <c r="Q90" s="520"/>
      <c r="R90" s="522"/>
      <c r="S90" s="522"/>
      <c r="T90" s="523"/>
      <c r="U90" s="522"/>
      <c r="V90" s="519"/>
      <c r="W90" s="522"/>
      <c r="X90" s="523"/>
      <c r="Y90" s="522"/>
      <c r="Z90" s="522"/>
      <c r="AA90" s="522"/>
      <c r="AB90" s="522"/>
      <c r="AC90" s="524"/>
      <c r="AD90" s="525"/>
      <c r="AE90" s="525"/>
      <c r="AF90" s="522"/>
      <c r="AG90" s="522"/>
      <c r="AH90" s="522"/>
      <c r="AI90" s="522"/>
      <c r="AJ90" s="522"/>
      <c r="AK90" s="522"/>
      <c r="AL90" s="522"/>
      <c r="AM90" s="526"/>
      <c r="AN90" s="506"/>
      <c r="AO90" s="527" t="str">
        <f t="shared" si="0"/>
        <v/>
      </c>
      <c r="AP90" s="528" t="str">
        <f t="shared" si="22"/>
        <v/>
      </c>
      <c r="AQ90" s="506"/>
      <c r="AR90" s="527" t="str">
        <f t="shared" si="1"/>
        <v/>
      </c>
      <c r="AS90" s="528" t="str">
        <f t="shared" si="23"/>
        <v/>
      </c>
      <c r="AT90" s="506"/>
      <c r="AU90" s="506"/>
      <c r="AV90" s="494"/>
      <c r="AW90" s="169">
        <v>64</v>
      </c>
      <c r="AX90" s="529"/>
      <c r="AY90" s="522"/>
      <c r="AZ90" s="524"/>
      <c r="BA90" s="524"/>
      <c r="BB90" s="524"/>
      <c r="BC90" s="524"/>
      <c r="BD90" s="524"/>
      <c r="BE90" s="524"/>
      <c r="BF90" s="524"/>
      <c r="BG90" s="530"/>
      <c r="BH90" s="424"/>
      <c r="BI90" s="424"/>
      <c r="BJ90" s="531" t="str">
        <f t="shared" si="2"/>
        <v/>
      </c>
      <c r="BK90" s="532" t="str">
        <f t="shared" si="3"/>
        <v/>
      </c>
      <c r="BL90" s="532" t="str">
        <f t="shared" si="24"/>
        <v/>
      </c>
      <c r="BM90" s="532" t="str">
        <f t="shared" si="25"/>
        <v/>
      </c>
      <c r="BN90" s="532" t="str">
        <f t="shared" si="26"/>
        <v/>
      </c>
      <c r="BO90" s="532" t="str">
        <f t="shared" si="4"/>
        <v/>
      </c>
      <c r="BP90" s="532" t="str">
        <f t="shared" si="5"/>
        <v/>
      </c>
      <c r="BQ90" s="532" t="str">
        <f t="shared" si="6"/>
        <v/>
      </c>
      <c r="BR90" s="532" t="str">
        <f t="shared" si="7"/>
        <v/>
      </c>
      <c r="BS90" s="532" t="str">
        <f t="shared" si="8"/>
        <v/>
      </c>
      <c r="BT90" s="532" t="str">
        <f t="shared" si="27"/>
        <v/>
      </c>
      <c r="BU90" s="532" t="str">
        <f t="shared" si="28"/>
        <v/>
      </c>
      <c r="BV90" s="532" t="str">
        <f t="shared" si="9"/>
        <v/>
      </c>
      <c r="BW90" s="532" t="str">
        <f t="shared" si="10"/>
        <v/>
      </c>
      <c r="BX90" s="532" t="str">
        <f t="shared" si="39"/>
        <v/>
      </c>
      <c r="BY90" s="532" t="str">
        <f t="shared" si="39"/>
        <v/>
      </c>
      <c r="BZ90" s="532" t="str">
        <f t="shared" si="39"/>
        <v/>
      </c>
      <c r="CA90" s="532" t="str">
        <f t="shared" si="29"/>
        <v/>
      </c>
      <c r="CB90" s="532" t="str">
        <f t="shared" si="12"/>
        <v/>
      </c>
      <c r="CC90" s="532" t="str">
        <f t="shared" si="30"/>
        <v/>
      </c>
      <c r="CD90" s="532" t="str">
        <f t="shared" si="31"/>
        <v/>
      </c>
      <c r="CE90" s="532" t="str">
        <f t="shared" si="13"/>
        <v/>
      </c>
      <c r="CF90" s="533" t="str">
        <f t="shared" si="14"/>
        <v/>
      </c>
      <c r="CG90" s="534" t="str">
        <f t="shared" si="32"/>
        <v/>
      </c>
      <c r="CH90" s="424"/>
      <c r="CI90" s="531" t="str">
        <f t="shared" si="33"/>
        <v/>
      </c>
      <c r="CJ90" s="534" t="str">
        <f t="shared" si="34"/>
        <v/>
      </c>
      <c r="CK90" s="424"/>
      <c r="CL90" s="531" t="str">
        <f t="shared" si="35"/>
        <v/>
      </c>
      <c r="CM90" s="534" t="str">
        <f t="shared" si="36"/>
        <v/>
      </c>
      <c r="CN90" s="424"/>
      <c r="CO90" s="531" t="str">
        <f t="shared" si="15"/>
        <v/>
      </c>
      <c r="CP90" s="532" t="str">
        <f t="shared" si="16"/>
        <v/>
      </c>
      <c r="CQ90" s="534" t="str">
        <f t="shared" si="17"/>
        <v/>
      </c>
      <c r="CR90" s="424"/>
      <c r="CS90" s="531" t="str">
        <f t="shared" si="18"/>
        <v/>
      </c>
      <c r="CT90" s="532" t="str">
        <f t="shared" si="19"/>
        <v/>
      </c>
      <c r="CU90" s="534" t="str">
        <f t="shared" si="20"/>
        <v/>
      </c>
      <c r="CW90" s="535" t="str">
        <f t="shared" si="37"/>
        <v/>
      </c>
      <c r="CX90" s="536">
        <f t="shared" si="38"/>
        <v>0</v>
      </c>
    </row>
    <row r="91" spans="2:102" s="410" customFormat="1" x14ac:dyDescent="0.2">
      <c r="B91" s="169">
        <v>65</v>
      </c>
      <c r="C91" s="517"/>
      <c r="D91" s="518"/>
      <c r="E91" s="519"/>
      <c r="F91" s="518"/>
      <c r="G91" s="518"/>
      <c r="H91" s="518"/>
      <c r="I91" s="518"/>
      <c r="J91" s="519"/>
      <c r="K91" s="520"/>
      <c r="L91" s="520"/>
      <c r="M91" s="520"/>
      <c r="N91" s="521" t="str">
        <f t="shared" si="21"/>
        <v/>
      </c>
      <c r="O91" s="522"/>
      <c r="P91" s="522"/>
      <c r="Q91" s="520"/>
      <c r="R91" s="522"/>
      <c r="S91" s="522"/>
      <c r="T91" s="523"/>
      <c r="U91" s="522"/>
      <c r="V91" s="519"/>
      <c r="W91" s="522"/>
      <c r="X91" s="523"/>
      <c r="Y91" s="522"/>
      <c r="Z91" s="522"/>
      <c r="AA91" s="522"/>
      <c r="AB91" s="522"/>
      <c r="AC91" s="524"/>
      <c r="AD91" s="525"/>
      <c r="AE91" s="525"/>
      <c r="AF91" s="522"/>
      <c r="AG91" s="522"/>
      <c r="AH91" s="522"/>
      <c r="AI91" s="522"/>
      <c r="AJ91" s="522"/>
      <c r="AK91" s="522"/>
      <c r="AL91" s="522"/>
      <c r="AM91" s="526"/>
      <c r="AN91" s="506"/>
      <c r="AO91" s="527" t="str">
        <f t="shared" ref="AO91:AO126" si="40">IF(C91="","",IF(CL91="Y","Core",IF(CM91="Y","Additional","Non-Qualifying")))</f>
        <v/>
      </c>
      <c r="AP91" s="528" t="str">
        <f t="shared" si="22"/>
        <v/>
      </c>
      <c r="AQ91" s="506"/>
      <c r="AR91" s="527" t="str">
        <f t="shared" ref="AR91:AR126" si="41">IF(C91="","",IF(CS91="Y","Tier 1 unlimited",IF(CT91="Y","Tier 1 limited",IF(CU91="Y","Tier 2 Paid-Up","Non-Qualifying"))))</f>
        <v/>
      </c>
      <c r="AS91" s="528" t="str">
        <f t="shared" si="23"/>
        <v/>
      </c>
      <c r="AT91" s="506"/>
      <c r="AU91" s="506"/>
      <c r="AV91" s="494"/>
      <c r="AW91" s="169">
        <v>65</v>
      </c>
      <c r="AX91" s="529"/>
      <c r="AY91" s="522"/>
      <c r="AZ91" s="524"/>
      <c r="BA91" s="524"/>
      <c r="BB91" s="524"/>
      <c r="BC91" s="524"/>
      <c r="BD91" s="524"/>
      <c r="BE91" s="524"/>
      <c r="BF91" s="524"/>
      <c r="BG91" s="530"/>
      <c r="BH91" s="424"/>
      <c r="BI91" s="424"/>
      <c r="BJ91" s="531" t="str">
        <f t="shared" ref="BJ91:BJ126" si="42">IF($C91="","",IF(I91="","ERROR",I91))</f>
        <v/>
      </c>
      <c r="BK91" s="532" t="str">
        <f t="shared" ref="BK91:BK126" si="43">IF($C91="","",IF(D91="","ERROR",IF(D91="Shares - Com/Ord","Y","N")))</f>
        <v/>
      </c>
      <c r="BL91" s="532" t="str">
        <f t="shared" si="24"/>
        <v/>
      </c>
      <c r="BM91" s="532" t="str">
        <f t="shared" si="25"/>
        <v/>
      </c>
      <c r="BN91" s="532" t="str">
        <f t="shared" si="26"/>
        <v/>
      </c>
      <c r="BO91" s="532" t="str">
        <f t="shared" ref="BO91:BO126" si="44">IF($C91="","",IF(OR(R91="",S91=""),"ERROR",IF(AND(R91="N",S91="Y"),"N","Y")))</f>
        <v/>
      </c>
      <c r="BP91" s="532" t="str">
        <f t="shared" ref="BP91:BP126" si="45">IF($C91="","","Y")</f>
        <v/>
      </c>
      <c r="BQ91" s="532" t="str">
        <f t="shared" ref="BQ91:BQ126" si="46">IF($C91="","",IF(AF91="","ERROR",AF91))</f>
        <v/>
      </c>
      <c r="BR91" s="532" t="str">
        <f t="shared" ref="BR91:BR126" si="47">IF($C91="","",IF(AG91="","ERROR",IF(AG91="N","Y","N")))</f>
        <v/>
      </c>
      <c r="BS91" s="532" t="str">
        <f t="shared" ref="BS91:BS126" si="48">IF($C91="","",IF(J91="","ERROR",IF(J91="Equity","Y","N")))</f>
        <v/>
      </c>
      <c r="BT91" s="532" t="str">
        <f t="shared" si="27"/>
        <v/>
      </c>
      <c r="BU91" s="532" t="str">
        <f t="shared" si="28"/>
        <v/>
      </c>
      <c r="BV91" s="532" t="str">
        <f t="shared" ref="BV91:BV126" si="49">IF($C91="","",IF(AH91="","ERROR",AH91))</f>
        <v/>
      </c>
      <c r="BW91" s="532" t="str">
        <f t="shared" ref="BW91:BW126" si="50">IF($C91="","",IF(OR(R91="",S91=""),"ERROR",IF(AND(R91="N",S91="Y"),"Y","N")))</f>
        <v/>
      </c>
      <c r="BX91" s="532" t="str">
        <f t="shared" ref="BX91:BZ126" si="51">IF($C91="","",IF(AI91="","ERROR",AI91))</f>
        <v/>
      </c>
      <c r="BY91" s="532" t="str">
        <f t="shared" si="51"/>
        <v/>
      </c>
      <c r="BZ91" s="532" t="str">
        <f t="shared" si="51"/>
        <v/>
      </c>
      <c r="CA91" s="532" t="str">
        <f t="shared" si="29"/>
        <v/>
      </c>
      <c r="CB91" s="532" t="str">
        <f t="shared" ref="CB91:CB126" si="52">IF($C91="","",IF(H91="","ERROR",IF(OR(H91="Policyholders",H91="Policyholders and non-subordinated creditors",H91="Policyholders, non-subordinated creditors and holders of Tier 2 instruments", H91="Instrument is the most subordinate"),"Y", "N")))</f>
        <v/>
      </c>
      <c r="CC91" s="532" t="str">
        <f t="shared" si="30"/>
        <v/>
      </c>
      <c r="CD91" s="532" t="str">
        <f t="shared" si="31"/>
        <v/>
      </c>
      <c r="CE91" s="532" t="str">
        <f t="shared" ref="CE91:CE126" si="53">IF($C91="","",IF(AM91="","ERROR",IF(AM91="N","Y","N")))</f>
        <v/>
      </c>
      <c r="CF91" s="533" t="str">
        <f t="shared" ref="CF91:CF126" si="54">IF($C91="","",IF(AL91="","ERROR",AL91))</f>
        <v/>
      </c>
      <c r="CG91" s="534" t="str">
        <f t="shared" si="32"/>
        <v/>
      </c>
      <c r="CH91" s="424"/>
      <c r="CI91" s="531" t="str">
        <f t="shared" si="33"/>
        <v/>
      </c>
      <c r="CJ91" s="534" t="str">
        <f t="shared" si="34"/>
        <v/>
      </c>
      <c r="CK91" s="424"/>
      <c r="CL91" s="531" t="str">
        <f t="shared" si="35"/>
        <v/>
      </c>
      <c r="CM91" s="534" t="str">
        <f t="shared" si="36"/>
        <v/>
      </c>
      <c r="CN91" s="424"/>
      <c r="CO91" s="531" t="str">
        <f t="shared" ref="CO91:CO126" si="55">IF(C91="","",IF(OR(BJ91="ERROR",BK91="ERROR",BL91="ERROR",BM91="ERROR",BN91="ERROR",BO91="ERROR",BP91="ERROR",BQ91="ERROR", BR91="ERROR",BS91="ERROR"),"ERROR","OK"))</f>
        <v/>
      </c>
      <c r="CP91" s="532" t="str">
        <f t="shared" ref="CP91:CP126" si="56">IF(C91="","",IF(OR(BJ91="ERROR",BT91="ERROR",BM91="ERROR",BU91="ERROR",BP91="ERROR",BV91="ERROR",BN91="ERROR",BW91="ERROR",BX91="ERROR",BQ91="ERROR",BR91="ERROR",BS91="ERROR",BY91="ERROR",BZ91="ERROR"),"ERROR","OK"))</f>
        <v/>
      </c>
      <c r="CQ91" s="534" t="str">
        <f t="shared" ref="CQ91:CQ126" si="57">IF(C91="","",IF(OR(BJ91="ERROR",CA91="ERROR",CC91="ERROR",CD91="ERROR",BU91="ERROR",BV91="ERROR",BN91="ERROR",BX91="ERROR",CE91="ERROR",BQ91="ERROR",BR91="ERROR",CF91="ERROR"),"ERROR","OK"))</f>
        <v/>
      </c>
      <c r="CR91" s="424"/>
      <c r="CS91" s="531" t="str">
        <f t="shared" ref="CS91:CS126" si="58">IF($C91="","",IF(CO91="ERROR","ERROR",IF(AND(BJ91="Y",BK91="Y",BL91="Y",BM91="Y",BN91="N",BO91="N",BP91="Y",BQ91="N", BR91="Y",BS91="Y"),"Y","N")))</f>
        <v/>
      </c>
      <c r="CT91" s="532" t="str">
        <f t="shared" ref="CT91:CT126" si="59">IF($CS91="Y","-",IF($C91="","",IF(CP91="ERROR","ERROR",IF(AND(BJ91="Y",BT91="Y",BM91="Y",BU91="Y",BP91="Y",BV91="Y",BN91="N",BW91="Y",BX91="N",BQ91="N",BR91="Y",BS91="Y",BY91="N",OR(BZ91="Y",BZ91="N/A")),"Y","N"))))</f>
        <v/>
      </c>
      <c r="CU91" s="534" t="str">
        <f t="shared" ref="CU91:CU126" si="60">IF(OR($CS91="Y",$CT91="Y"),"-",IF($C91="","",IF(CQ91="ERROR","ERROR",IF(AND(BJ91="Y",CA91="Y",CC91="Y",OR(CD91="Y",CD91="N/A"),BU91="Y",BV91="Y",BN91="N",BX91="N",CE91="Y",BQ91="N",BR91="Y",OR(CF91="Y",CF91="N/A")),"Y","N"))))</f>
        <v/>
      </c>
      <c r="CW91" s="535" t="str">
        <f t="shared" si="37"/>
        <v/>
      </c>
      <c r="CX91" s="536">
        <f t="shared" si="38"/>
        <v>0</v>
      </c>
    </row>
    <row r="92" spans="2:102" s="410" customFormat="1" x14ac:dyDescent="0.2">
      <c r="B92" s="169">
        <v>66</v>
      </c>
      <c r="C92" s="517"/>
      <c r="D92" s="518"/>
      <c r="E92" s="519"/>
      <c r="F92" s="518"/>
      <c r="G92" s="518"/>
      <c r="H92" s="518"/>
      <c r="I92" s="518"/>
      <c r="J92" s="519"/>
      <c r="K92" s="520"/>
      <c r="L92" s="520"/>
      <c r="M92" s="520"/>
      <c r="N92" s="521" t="str">
        <f t="shared" ref="N92:N126" si="61">IF(C92="","",IF(AND(O92="Y",Q92&lt;&gt;""),ROUND(YEARFRAC(K92,Q92),2),IF(OR(L92="Perpetual",L92="NA",ISBLANK(L92)),"Perpetual",ROUND(YEARFRAC(K92,L92),2))))</f>
        <v/>
      </c>
      <c r="O92" s="522"/>
      <c r="P92" s="522"/>
      <c r="Q92" s="520"/>
      <c r="R92" s="522"/>
      <c r="S92" s="522"/>
      <c r="T92" s="523"/>
      <c r="U92" s="522"/>
      <c r="V92" s="519"/>
      <c r="W92" s="522"/>
      <c r="X92" s="523"/>
      <c r="Y92" s="522"/>
      <c r="Z92" s="522"/>
      <c r="AA92" s="522"/>
      <c r="AB92" s="522"/>
      <c r="AC92" s="524"/>
      <c r="AD92" s="525"/>
      <c r="AE92" s="525"/>
      <c r="AF92" s="522"/>
      <c r="AG92" s="522"/>
      <c r="AH92" s="522"/>
      <c r="AI92" s="522"/>
      <c r="AJ92" s="522"/>
      <c r="AK92" s="522"/>
      <c r="AL92" s="522"/>
      <c r="AM92" s="526"/>
      <c r="AN92" s="506"/>
      <c r="AO92" s="527" t="str">
        <f t="shared" si="40"/>
        <v/>
      </c>
      <c r="AP92" s="528" t="str">
        <f t="shared" ref="AP92:AP126" si="62">IF(C92="","",IF(AO92="Non-Qualifying",0,AD92*CX92))</f>
        <v/>
      </c>
      <c r="AQ92" s="506"/>
      <c r="AR92" s="527" t="str">
        <f t="shared" si="41"/>
        <v/>
      </c>
      <c r="AS92" s="528" t="str">
        <f t="shared" ref="AS92:AS126" si="63">IF(C92="","",IF(AR92="Non-Qualifying",0,AD92*CX92))</f>
        <v/>
      </c>
      <c r="AT92" s="506"/>
      <c r="AU92" s="506"/>
      <c r="AV92" s="494"/>
      <c r="AW92" s="169">
        <v>66</v>
      </c>
      <c r="AX92" s="529"/>
      <c r="AY92" s="522"/>
      <c r="AZ92" s="524"/>
      <c r="BA92" s="524"/>
      <c r="BB92" s="524"/>
      <c r="BC92" s="524"/>
      <c r="BD92" s="524"/>
      <c r="BE92" s="524"/>
      <c r="BF92" s="524"/>
      <c r="BG92" s="530"/>
      <c r="BH92" s="424"/>
      <c r="BI92" s="424"/>
      <c r="BJ92" s="531" t="str">
        <f t="shared" si="42"/>
        <v/>
      </c>
      <c r="BK92" s="532" t="str">
        <f t="shared" si="43"/>
        <v/>
      </c>
      <c r="BL92" s="532" t="str">
        <f t="shared" ref="BL92:BL126" si="64">IF($C92="","",IF(D92="","ERROR",IF(H92="Instrument is the most subordinate","Y","N")))</f>
        <v/>
      </c>
      <c r="BM92" s="532" t="str">
        <f t="shared" ref="BM92:BM126" si="65">IF($C92="","",IF(OR(L92="Perpetual",L92=""),"Y","N"))</f>
        <v/>
      </c>
      <c r="BN92" s="532" t="str">
        <f t="shared" ref="BN92:BN126" si="66">IF($C92="","","N")</f>
        <v/>
      </c>
      <c r="BO92" s="532" t="str">
        <f t="shared" si="44"/>
        <v/>
      </c>
      <c r="BP92" s="532" t="str">
        <f t="shared" si="45"/>
        <v/>
      </c>
      <c r="BQ92" s="532" t="str">
        <f t="shared" si="46"/>
        <v/>
      </c>
      <c r="BR92" s="532" t="str">
        <f t="shared" si="47"/>
        <v/>
      </c>
      <c r="BS92" s="532" t="str">
        <f t="shared" si="48"/>
        <v/>
      </c>
      <c r="BT92" s="532" t="str">
        <f t="shared" ref="BT92:BT126" si="67">IF($C92="","",IF(H92="","ERROR",IF(OR(H92="Policyholders, non-subordinated creditors and holders of Tier 2 instruments", H92="Instrument is the most subordinate"),"Y","N")))</f>
        <v/>
      </c>
      <c r="BU92" s="532" t="str">
        <f t="shared" ref="BU92:BU126" si="68">IF($C92="","",IF(AND(ROUND(YEARFRAC(SUM(K92),SUM(M92)),2)&gt;=5,AA92="Y"),"Y",  IF(AND(IF(L92="Perpetual",TRUE,ROUND(YEARFRAC(SUM(K92),SUM(L92)),2)&gt;=5 ),AA92="Y"),"Y[BCR]",  "N") ))</f>
        <v/>
      </c>
      <c r="BV92" s="532" t="str">
        <f t="shared" si="49"/>
        <v/>
      </c>
      <c r="BW92" s="532" t="str">
        <f t="shared" si="50"/>
        <v/>
      </c>
      <c r="BX92" s="532" t="str">
        <f t="shared" si="51"/>
        <v/>
      </c>
      <c r="BY92" s="532" t="str">
        <f t="shared" si="51"/>
        <v/>
      </c>
      <c r="BZ92" s="532" t="str">
        <f t="shared" si="51"/>
        <v/>
      </c>
      <c r="CA92" s="532" t="str">
        <f t="shared" ref="CA92:CA126" si="69">IF($C92="","",IF(H92="","ERROR",IF(OR(H92="Policyholders and non-subordinated creditors",H92="Policyholders, non-subordinated creditors and holders of Tier 2 instruments", H92="Instrument is the most subordinate"), "Y", "N")))</f>
        <v/>
      </c>
      <c r="CB92" s="532" t="str">
        <f t="shared" si="52"/>
        <v/>
      </c>
      <c r="CC92" s="532" t="str">
        <f t="shared" ref="CC92:CC126" si="70">IF($C92="","",IF(OR(N92="Perpetual",N92&gt;=5),"Y","N"))</f>
        <v/>
      </c>
      <c r="CD92" s="532" t="str">
        <f t="shared" ref="CD92:CD126" si="71">IF($C92="","",IF(OR(AB92="",AND(AB92="Amortization",AC92="")),"ERROR",IF(OR(AND(AB92="Amortization",SUM(AC92)&gt;=5),AB92="Lock-in"),"Y",IF(OR(L92="Perpetual",L92=""),"N/A","N"))))</f>
        <v/>
      </c>
      <c r="CE92" s="532" t="str">
        <f t="shared" si="53"/>
        <v/>
      </c>
      <c r="CF92" s="533" t="str">
        <f t="shared" si="54"/>
        <v/>
      </c>
      <c r="CG92" s="534" t="str">
        <f t="shared" ref="CG92:CG126" si="72">IF($C92="","",IF(S92="","ERROR",IF(S92="Y","N","")))</f>
        <v/>
      </c>
      <c r="CH92" s="424"/>
      <c r="CI92" s="531" t="str">
        <f t="shared" ref="CI92:CI126" si="73">IF(C92="","",IF(OR(BJ92="ERROR",BM92="ERROR",BO92="ERROR",BQ92="ERROR",BU92="ERROR",BX92="ERROR",CB92="ERROR",CG92="ERROR"),"ERROR","OK"))</f>
        <v/>
      </c>
      <c r="CJ92" s="534" t="str">
        <f t="shared" ref="CJ92:CJ126" si="74">IF(C92="","",IF(OR(BJ92="ERROR",BQ92="ERROR",BU92="ERROR",BX92="ERROR",CB92="ERROR",CD92="ERROR",CE92="ERROR"),"ERROR","OK"))</f>
        <v/>
      </c>
      <c r="CK92" s="424"/>
      <c r="CL92" s="531" t="str">
        <f t="shared" ref="CL92:CL126" si="75">IF(C92="","",IF(D92="Shares - Com/Ord","Y",IF(CI92="ERROR","ERROR",IF(AND(BJ92="Y",BM92="Y",BO92="N",BQ92="N", LEFT(BU92,1)="Y",BX92="N",CB92="Y",CG92="N"),"Y","N"))))</f>
        <v/>
      </c>
      <c r="CM92" s="534" t="str">
        <f t="shared" ref="CM92:CM126" si="76">IF($CL92="Y","-",IF(C92="","",IF(CJ92="ERROR","ERROR",IF(AND(BJ92="Y",BQ92="N",LEFT(BU92,1)="Y",BX92="N",CB92="Y",CE92="Y"),"Y","N"))))</f>
        <v/>
      </c>
      <c r="CN92" s="424"/>
      <c r="CO92" s="531" t="str">
        <f t="shared" si="55"/>
        <v/>
      </c>
      <c r="CP92" s="532" t="str">
        <f t="shared" si="56"/>
        <v/>
      </c>
      <c r="CQ92" s="534" t="str">
        <f t="shared" si="57"/>
        <v/>
      </c>
      <c r="CR92" s="424"/>
      <c r="CS92" s="531" t="str">
        <f t="shared" si="58"/>
        <v/>
      </c>
      <c r="CT92" s="532" t="str">
        <f t="shared" si="59"/>
        <v/>
      </c>
      <c r="CU92" s="534" t="str">
        <f t="shared" si="60"/>
        <v/>
      </c>
      <c r="CW92" s="535" t="str">
        <f t="shared" ref="CW92:CW126" si="77">IF(C92="","",IF(OR(L92="Perpetual",L92="NA",0=LEN(L92)),"Perpetual",IF(O92="Y",ROUND(MIN(YEARFRAC($CW$22,SUM(Q92)),YEARFRAC($CW$22,L92)),2),ROUND(YEARFRAC($CW$22,L92),2))))</f>
        <v/>
      </c>
      <c r="CX92" s="536">
        <f t="shared" ref="CX92:CX126" si="78">IF(OR(CW92="Perpetual",AB92="Lock-in"),$CX$22,MIN($CX$22,SUM(CW92)))/$CX$22</f>
        <v>0</v>
      </c>
    </row>
    <row r="93" spans="2:102" s="410" customFormat="1" x14ac:dyDescent="0.2">
      <c r="B93" s="169">
        <v>67</v>
      </c>
      <c r="C93" s="517"/>
      <c r="D93" s="518"/>
      <c r="E93" s="519"/>
      <c r="F93" s="518"/>
      <c r="G93" s="518"/>
      <c r="H93" s="518"/>
      <c r="I93" s="518"/>
      <c r="J93" s="519"/>
      <c r="K93" s="520"/>
      <c r="L93" s="520"/>
      <c r="M93" s="520"/>
      <c r="N93" s="521" t="str">
        <f t="shared" si="61"/>
        <v/>
      </c>
      <c r="O93" s="522"/>
      <c r="P93" s="522"/>
      <c r="Q93" s="520"/>
      <c r="R93" s="522"/>
      <c r="S93" s="522"/>
      <c r="T93" s="523"/>
      <c r="U93" s="522"/>
      <c r="V93" s="519"/>
      <c r="W93" s="522"/>
      <c r="X93" s="523"/>
      <c r="Y93" s="522"/>
      <c r="Z93" s="522"/>
      <c r="AA93" s="522"/>
      <c r="AB93" s="522"/>
      <c r="AC93" s="524"/>
      <c r="AD93" s="525"/>
      <c r="AE93" s="525"/>
      <c r="AF93" s="522"/>
      <c r="AG93" s="522"/>
      <c r="AH93" s="522"/>
      <c r="AI93" s="522"/>
      <c r="AJ93" s="522"/>
      <c r="AK93" s="522"/>
      <c r="AL93" s="522"/>
      <c r="AM93" s="526"/>
      <c r="AN93" s="506"/>
      <c r="AO93" s="527" t="str">
        <f t="shared" si="40"/>
        <v/>
      </c>
      <c r="AP93" s="528" t="str">
        <f t="shared" si="62"/>
        <v/>
      </c>
      <c r="AQ93" s="506"/>
      <c r="AR93" s="527" t="str">
        <f t="shared" si="41"/>
        <v/>
      </c>
      <c r="AS93" s="528" t="str">
        <f t="shared" si="63"/>
        <v/>
      </c>
      <c r="AT93" s="506"/>
      <c r="AU93" s="506"/>
      <c r="AV93" s="494"/>
      <c r="AW93" s="169">
        <v>67</v>
      </c>
      <c r="AX93" s="529"/>
      <c r="AY93" s="522"/>
      <c r="AZ93" s="524"/>
      <c r="BA93" s="524"/>
      <c r="BB93" s="524"/>
      <c r="BC93" s="524"/>
      <c r="BD93" s="524"/>
      <c r="BE93" s="524"/>
      <c r="BF93" s="524"/>
      <c r="BG93" s="530"/>
      <c r="BH93" s="424"/>
      <c r="BI93" s="424"/>
      <c r="BJ93" s="531" t="str">
        <f t="shared" si="42"/>
        <v/>
      </c>
      <c r="BK93" s="532" t="str">
        <f t="shared" si="43"/>
        <v/>
      </c>
      <c r="BL93" s="532" t="str">
        <f t="shared" si="64"/>
        <v/>
      </c>
      <c r="BM93" s="532" t="str">
        <f t="shared" si="65"/>
        <v/>
      </c>
      <c r="BN93" s="532" t="str">
        <f t="shared" si="66"/>
        <v/>
      </c>
      <c r="BO93" s="532" t="str">
        <f t="shared" si="44"/>
        <v/>
      </c>
      <c r="BP93" s="532" t="str">
        <f t="shared" si="45"/>
        <v/>
      </c>
      <c r="BQ93" s="532" t="str">
        <f t="shared" si="46"/>
        <v/>
      </c>
      <c r="BR93" s="532" t="str">
        <f t="shared" si="47"/>
        <v/>
      </c>
      <c r="BS93" s="532" t="str">
        <f t="shared" si="48"/>
        <v/>
      </c>
      <c r="BT93" s="532" t="str">
        <f t="shared" si="67"/>
        <v/>
      </c>
      <c r="BU93" s="532" t="str">
        <f t="shared" si="68"/>
        <v/>
      </c>
      <c r="BV93" s="532" t="str">
        <f t="shared" si="49"/>
        <v/>
      </c>
      <c r="BW93" s="532" t="str">
        <f t="shared" si="50"/>
        <v/>
      </c>
      <c r="BX93" s="532" t="str">
        <f t="shared" si="51"/>
        <v/>
      </c>
      <c r="BY93" s="532" t="str">
        <f t="shared" si="51"/>
        <v/>
      </c>
      <c r="BZ93" s="532" t="str">
        <f t="shared" si="51"/>
        <v/>
      </c>
      <c r="CA93" s="532" t="str">
        <f t="shared" si="69"/>
        <v/>
      </c>
      <c r="CB93" s="532" t="str">
        <f t="shared" si="52"/>
        <v/>
      </c>
      <c r="CC93" s="532" t="str">
        <f t="shared" si="70"/>
        <v/>
      </c>
      <c r="CD93" s="532" t="str">
        <f t="shared" si="71"/>
        <v/>
      </c>
      <c r="CE93" s="532" t="str">
        <f t="shared" si="53"/>
        <v/>
      </c>
      <c r="CF93" s="533" t="str">
        <f t="shared" si="54"/>
        <v/>
      </c>
      <c r="CG93" s="534" t="str">
        <f t="shared" si="72"/>
        <v/>
      </c>
      <c r="CH93" s="424"/>
      <c r="CI93" s="531" t="str">
        <f t="shared" si="73"/>
        <v/>
      </c>
      <c r="CJ93" s="534" t="str">
        <f t="shared" si="74"/>
        <v/>
      </c>
      <c r="CK93" s="424"/>
      <c r="CL93" s="531" t="str">
        <f t="shared" si="75"/>
        <v/>
      </c>
      <c r="CM93" s="534" t="str">
        <f t="shared" si="76"/>
        <v/>
      </c>
      <c r="CN93" s="424"/>
      <c r="CO93" s="531" t="str">
        <f t="shared" si="55"/>
        <v/>
      </c>
      <c r="CP93" s="532" t="str">
        <f t="shared" si="56"/>
        <v/>
      </c>
      <c r="CQ93" s="534" t="str">
        <f t="shared" si="57"/>
        <v/>
      </c>
      <c r="CR93" s="424"/>
      <c r="CS93" s="531" t="str">
        <f t="shared" si="58"/>
        <v/>
      </c>
      <c r="CT93" s="532" t="str">
        <f t="shared" si="59"/>
        <v/>
      </c>
      <c r="CU93" s="534" t="str">
        <f t="shared" si="60"/>
        <v/>
      </c>
      <c r="CW93" s="535" t="str">
        <f t="shared" si="77"/>
        <v/>
      </c>
      <c r="CX93" s="536">
        <f t="shared" si="78"/>
        <v>0</v>
      </c>
    </row>
    <row r="94" spans="2:102" s="410" customFormat="1" x14ac:dyDescent="0.2">
      <c r="B94" s="169">
        <v>68</v>
      </c>
      <c r="C94" s="517"/>
      <c r="D94" s="518"/>
      <c r="E94" s="519"/>
      <c r="F94" s="518"/>
      <c r="G94" s="518"/>
      <c r="H94" s="518"/>
      <c r="I94" s="518"/>
      <c r="J94" s="519"/>
      <c r="K94" s="520"/>
      <c r="L94" s="520"/>
      <c r="M94" s="520"/>
      <c r="N94" s="521" t="str">
        <f t="shared" si="61"/>
        <v/>
      </c>
      <c r="O94" s="522"/>
      <c r="P94" s="522"/>
      <c r="Q94" s="520"/>
      <c r="R94" s="522"/>
      <c r="S94" s="522"/>
      <c r="T94" s="523"/>
      <c r="U94" s="522"/>
      <c r="V94" s="519"/>
      <c r="W94" s="522"/>
      <c r="X94" s="523"/>
      <c r="Y94" s="522"/>
      <c r="Z94" s="522"/>
      <c r="AA94" s="522"/>
      <c r="AB94" s="522"/>
      <c r="AC94" s="524"/>
      <c r="AD94" s="525"/>
      <c r="AE94" s="525"/>
      <c r="AF94" s="522"/>
      <c r="AG94" s="522"/>
      <c r="AH94" s="522"/>
      <c r="AI94" s="522"/>
      <c r="AJ94" s="522"/>
      <c r="AK94" s="522"/>
      <c r="AL94" s="522"/>
      <c r="AM94" s="526"/>
      <c r="AN94" s="506"/>
      <c r="AO94" s="527" t="str">
        <f t="shared" si="40"/>
        <v/>
      </c>
      <c r="AP94" s="528" t="str">
        <f t="shared" si="62"/>
        <v/>
      </c>
      <c r="AQ94" s="506"/>
      <c r="AR94" s="527" t="str">
        <f t="shared" si="41"/>
        <v/>
      </c>
      <c r="AS94" s="528" t="str">
        <f t="shared" si="63"/>
        <v/>
      </c>
      <c r="AT94" s="506"/>
      <c r="AU94" s="506"/>
      <c r="AV94" s="494"/>
      <c r="AW94" s="169">
        <v>68</v>
      </c>
      <c r="AX94" s="529"/>
      <c r="AY94" s="522"/>
      <c r="AZ94" s="524"/>
      <c r="BA94" s="524"/>
      <c r="BB94" s="524"/>
      <c r="BC94" s="524"/>
      <c r="BD94" s="524"/>
      <c r="BE94" s="524"/>
      <c r="BF94" s="524"/>
      <c r="BG94" s="530"/>
      <c r="BH94" s="424"/>
      <c r="BI94" s="424"/>
      <c r="BJ94" s="531" t="str">
        <f t="shared" si="42"/>
        <v/>
      </c>
      <c r="BK94" s="532" t="str">
        <f t="shared" si="43"/>
        <v/>
      </c>
      <c r="BL94" s="532" t="str">
        <f t="shared" si="64"/>
        <v/>
      </c>
      <c r="BM94" s="532" t="str">
        <f t="shared" si="65"/>
        <v/>
      </c>
      <c r="BN94" s="532" t="str">
        <f t="shared" si="66"/>
        <v/>
      </c>
      <c r="BO94" s="532" t="str">
        <f t="shared" si="44"/>
        <v/>
      </c>
      <c r="BP94" s="532" t="str">
        <f t="shared" si="45"/>
        <v/>
      </c>
      <c r="BQ94" s="532" t="str">
        <f t="shared" si="46"/>
        <v/>
      </c>
      <c r="BR94" s="532" t="str">
        <f t="shared" si="47"/>
        <v/>
      </c>
      <c r="BS94" s="532" t="str">
        <f t="shared" si="48"/>
        <v/>
      </c>
      <c r="BT94" s="532" t="str">
        <f t="shared" si="67"/>
        <v/>
      </c>
      <c r="BU94" s="532" t="str">
        <f t="shared" si="68"/>
        <v/>
      </c>
      <c r="BV94" s="532" t="str">
        <f t="shared" si="49"/>
        <v/>
      </c>
      <c r="BW94" s="532" t="str">
        <f t="shared" si="50"/>
        <v/>
      </c>
      <c r="BX94" s="532" t="str">
        <f t="shared" si="51"/>
        <v/>
      </c>
      <c r="BY94" s="532" t="str">
        <f t="shared" si="51"/>
        <v/>
      </c>
      <c r="BZ94" s="532" t="str">
        <f t="shared" si="51"/>
        <v/>
      </c>
      <c r="CA94" s="532" t="str">
        <f t="shared" si="69"/>
        <v/>
      </c>
      <c r="CB94" s="532" t="str">
        <f t="shared" si="52"/>
        <v/>
      </c>
      <c r="CC94" s="532" t="str">
        <f t="shared" si="70"/>
        <v/>
      </c>
      <c r="CD94" s="532" t="str">
        <f t="shared" si="71"/>
        <v/>
      </c>
      <c r="CE94" s="532" t="str">
        <f t="shared" si="53"/>
        <v/>
      </c>
      <c r="CF94" s="533" t="str">
        <f t="shared" si="54"/>
        <v/>
      </c>
      <c r="CG94" s="534" t="str">
        <f t="shared" si="72"/>
        <v/>
      </c>
      <c r="CH94" s="424"/>
      <c r="CI94" s="531" t="str">
        <f t="shared" si="73"/>
        <v/>
      </c>
      <c r="CJ94" s="534" t="str">
        <f t="shared" si="74"/>
        <v/>
      </c>
      <c r="CK94" s="424"/>
      <c r="CL94" s="531" t="str">
        <f t="shared" si="75"/>
        <v/>
      </c>
      <c r="CM94" s="534" t="str">
        <f t="shared" si="76"/>
        <v/>
      </c>
      <c r="CN94" s="424"/>
      <c r="CO94" s="531" t="str">
        <f t="shared" si="55"/>
        <v/>
      </c>
      <c r="CP94" s="532" t="str">
        <f t="shared" si="56"/>
        <v/>
      </c>
      <c r="CQ94" s="534" t="str">
        <f t="shared" si="57"/>
        <v/>
      </c>
      <c r="CR94" s="424"/>
      <c r="CS94" s="531" t="str">
        <f t="shared" si="58"/>
        <v/>
      </c>
      <c r="CT94" s="532" t="str">
        <f t="shared" si="59"/>
        <v/>
      </c>
      <c r="CU94" s="534" t="str">
        <f t="shared" si="60"/>
        <v/>
      </c>
      <c r="CW94" s="535" t="str">
        <f t="shared" si="77"/>
        <v/>
      </c>
      <c r="CX94" s="536">
        <f t="shared" si="78"/>
        <v>0</v>
      </c>
    </row>
    <row r="95" spans="2:102" s="410" customFormat="1" x14ac:dyDescent="0.2">
      <c r="B95" s="169">
        <v>69</v>
      </c>
      <c r="C95" s="517"/>
      <c r="D95" s="518"/>
      <c r="E95" s="519"/>
      <c r="F95" s="518"/>
      <c r="G95" s="518"/>
      <c r="H95" s="518"/>
      <c r="I95" s="518"/>
      <c r="J95" s="519"/>
      <c r="K95" s="520"/>
      <c r="L95" s="520"/>
      <c r="M95" s="520"/>
      <c r="N95" s="521" t="str">
        <f t="shared" si="61"/>
        <v/>
      </c>
      <c r="O95" s="522"/>
      <c r="P95" s="522"/>
      <c r="Q95" s="520"/>
      <c r="R95" s="522"/>
      <c r="S95" s="522"/>
      <c r="T95" s="523"/>
      <c r="U95" s="522"/>
      <c r="V95" s="519"/>
      <c r="W95" s="522"/>
      <c r="X95" s="523"/>
      <c r="Y95" s="522"/>
      <c r="Z95" s="522"/>
      <c r="AA95" s="522"/>
      <c r="AB95" s="522"/>
      <c r="AC95" s="524"/>
      <c r="AD95" s="525"/>
      <c r="AE95" s="525"/>
      <c r="AF95" s="522"/>
      <c r="AG95" s="522"/>
      <c r="AH95" s="522"/>
      <c r="AI95" s="522"/>
      <c r="AJ95" s="522"/>
      <c r="AK95" s="522"/>
      <c r="AL95" s="522"/>
      <c r="AM95" s="526"/>
      <c r="AN95" s="506"/>
      <c r="AO95" s="527" t="str">
        <f t="shared" si="40"/>
        <v/>
      </c>
      <c r="AP95" s="528" t="str">
        <f t="shared" si="62"/>
        <v/>
      </c>
      <c r="AQ95" s="506"/>
      <c r="AR95" s="527" t="str">
        <f t="shared" si="41"/>
        <v/>
      </c>
      <c r="AS95" s="528" t="str">
        <f t="shared" si="63"/>
        <v/>
      </c>
      <c r="AT95" s="506"/>
      <c r="AU95" s="506"/>
      <c r="AV95" s="494"/>
      <c r="AW95" s="169">
        <v>69</v>
      </c>
      <c r="AX95" s="529"/>
      <c r="AY95" s="522"/>
      <c r="AZ95" s="524"/>
      <c r="BA95" s="524"/>
      <c r="BB95" s="524"/>
      <c r="BC95" s="524"/>
      <c r="BD95" s="524"/>
      <c r="BE95" s="524"/>
      <c r="BF95" s="524"/>
      <c r="BG95" s="530"/>
      <c r="BH95" s="424"/>
      <c r="BI95" s="424"/>
      <c r="BJ95" s="531" t="str">
        <f t="shared" si="42"/>
        <v/>
      </c>
      <c r="BK95" s="532" t="str">
        <f t="shared" si="43"/>
        <v/>
      </c>
      <c r="BL95" s="532" t="str">
        <f t="shared" si="64"/>
        <v/>
      </c>
      <c r="BM95" s="532" t="str">
        <f t="shared" si="65"/>
        <v/>
      </c>
      <c r="BN95" s="532" t="str">
        <f t="shared" si="66"/>
        <v/>
      </c>
      <c r="BO95" s="532" t="str">
        <f t="shared" si="44"/>
        <v/>
      </c>
      <c r="BP95" s="532" t="str">
        <f t="shared" si="45"/>
        <v/>
      </c>
      <c r="BQ95" s="532" t="str">
        <f t="shared" si="46"/>
        <v/>
      </c>
      <c r="BR95" s="532" t="str">
        <f t="shared" si="47"/>
        <v/>
      </c>
      <c r="BS95" s="532" t="str">
        <f t="shared" si="48"/>
        <v/>
      </c>
      <c r="BT95" s="532" t="str">
        <f t="shared" si="67"/>
        <v/>
      </c>
      <c r="BU95" s="532" t="str">
        <f t="shared" si="68"/>
        <v/>
      </c>
      <c r="BV95" s="532" t="str">
        <f t="shared" si="49"/>
        <v/>
      </c>
      <c r="BW95" s="532" t="str">
        <f t="shared" si="50"/>
        <v/>
      </c>
      <c r="BX95" s="532" t="str">
        <f t="shared" si="51"/>
        <v/>
      </c>
      <c r="BY95" s="532" t="str">
        <f t="shared" si="51"/>
        <v/>
      </c>
      <c r="BZ95" s="532" t="str">
        <f t="shared" si="51"/>
        <v/>
      </c>
      <c r="CA95" s="532" t="str">
        <f t="shared" si="69"/>
        <v/>
      </c>
      <c r="CB95" s="532" t="str">
        <f t="shared" si="52"/>
        <v/>
      </c>
      <c r="CC95" s="532" t="str">
        <f t="shared" si="70"/>
        <v/>
      </c>
      <c r="CD95" s="532" t="str">
        <f t="shared" si="71"/>
        <v/>
      </c>
      <c r="CE95" s="532" t="str">
        <f t="shared" si="53"/>
        <v/>
      </c>
      <c r="CF95" s="533" t="str">
        <f t="shared" si="54"/>
        <v/>
      </c>
      <c r="CG95" s="534" t="str">
        <f t="shared" si="72"/>
        <v/>
      </c>
      <c r="CH95" s="424"/>
      <c r="CI95" s="531" t="str">
        <f t="shared" si="73"/>
        <v/>
      </c>
      <c r="CJ95" s="534" t="str">
        <f t="shared" si="74"/>
        <v/>
      </c>
      <c r="CK95" s="424"/>
      <c r="CL95" s="531" t="str">
        <f t="shared" si="75"/>
        <v/>
      </c>
      <c r="CM95" s="534" t="str">
        <f t="shared" si="76"/>
        <v/>
      </c>
      <c r="CN95" s="424"/>
      <c r="CO95" s="531" t="str">
        <f t="shared" si="55"/>
        <v/>
      </c>
      <c r="CP95" s="532" t="str">
        <f t="shared" si="56"/>
        <v/>
      </c>
      <c r="CQ95" s="534" t="str">
        <f t="shared" si="57"/>
        <v/>
      </c>
      <c r="CR95" s="424"/>
      <c r="CS95" s="531" t="str">
        <f t="shared" si="58"/>
        <v/>
      </c>
      <c r="CT95" s="532" t="str">
        <f t="shared" si="59"/>
        <v/>
      </c>
      <c r="CU95" s="534" t="str">
        <f t="shared" si="60"/>
        <v/>
      </c>
      <c r="CW95" s="535" t="str">
        <f t="shared" si="77"/>
        <v/>
      </c>
      <c r="CX95" s="536">
        <f t="shared" si="78"/>
        <v>0</v>
      </c>
    </row>
    <row r="96" spans="2:102" s="410" customFormat="1" x14ac:dyDescent="0.2">
      <c r="B96" s="169">
        <v>70</v>
      </c>
      <c r="C96" s="517"/>
      <c r="D96" s="518"/>
      <c r="E96" s="519"/>
      <c r="F96" s="518"/>
      <c r="G96" s="518"/>
      <c r="H96" s="518"/>
      <c r="I96" s="518"/>
      <c r="J96" s="519"/>
      <c r="K96" s="520"/>
      <c r="L96" s="520"/>
      <c r="M96" s="520"/>
      <c r="N96" s="521" t="str">
        <f t="shared" si="61"/>
        <v/>
      </c>
      <c r="O96" s="522"/>
      <c r="P96" s="522"/>
      <c r="Q96" s="520"/>
      <c r="R96" s="522"/>
      <c r="S96" s="522"/>
      <c r="T96" s="523"/>
      <c r="U96" s="522"/>
      <c r="V96" s="519"/>
      <c r="W96" s="522"/>
      <c r="X96" s="523"/>
      <c r="Y96" s="522"/>
      <c r="Z96" s="522"/>
      <c r="AA96" s="522"/>
      <c r="AB96" s="522"/>
      <c r="AC96" s="524"/>
      <c r="AD96" s="525"/>
      <c r="AE96" s="525"/>
      <c r="AF96" s="522"/>
      <c r="AG96" s="522"/>
      <c r="AH96" s="522"/>
      <c r="AI96" s="522"/>
      <c r="AJ96" s="522"/>
      <c r="AK96" s="522"/>
      <c r="AL96" s="522"/>
      <c r="AM96" s="526"/>
      <c r="AN96" s="506"/>
      <c r="AO96" s="527" t="str">
        <f t="shared" si="40"/>
        <v/>
      </c>
      <c r="AP96" s="528" t="str">
        <f t="shared" si="62"/>
        <v/>
      </c>
      <c r="AQ96" s="506"/>
      <c r="AR96" s="527" t="str">
        <f t="shared" si="41"/>
        <v/>
      </c>
      <c r="AS96" s="528" t="str">
        <f t="shared" si="63"/>
        <v/>
      </c>
      <c r="AT96" s="506"/>
      <c r="AU96" s="506"/>
      <c r="AV96" s="494"/>
      <c r="AW96" s="169">
        <v>70</v>
      </c>
      <c r="AX96" s="529"/>
      <c r="AY96" s="522"/>
      <c r="AZ96" s="524"/>
      <c r="BA96" s="524"/>
      <c r="BB96" s="524"/>
      <c r="BC96" s="524"/>
      <c r="BD96" s="524"/>
      <c r="BE96" s="524"/>
      <c r="BF96" s="524"/>
      <c r="BG96" s="530"/>
      <c r="BH96" s="424"/>
      <c r="BI96" s="424"/>
      <c r="BJ96" s="531" t="str">
        <f t="shared" si="42"/>
        <v/>
      </c>
      <c r="BK96" s="532" t="str">
        <f t="shared" si="43"/>
        <v/>
      </c>
      <c r="BL96" s="532" t="str">
        <f t="shared" si="64"/>
        <v/>
      </c>
      <c r="BM96" s="532" t="str">
        <f t="shared" si="65"/>
        <v/>
      </c>
      <c r="BN96" s="532" t="str">
        <f t="shared" si="66"/>
        <v/>
      </c>
      <c r="BO96" s="532" t="str">
        <f t="shared" si="44"/>
        <v/>
      </c>
      <c r="BP96" s="532" t="str">
        <f t="shared" si="45"/>
        <v/>
      </c>
      <c r="BQ96" s="532" t="str">
        <f t="shared" si="46"/>
        <v/>
      </c>
      <c r="BR96" s="532" t="str">
        <f t="shared" si="47"/>
        <v/>
      </c>
      <c r="BS96" s="532" t="str">
        <f t="shared" si="48"/>
        <v/>
      </c>
      <c r="BT96" s="532" t="str">
        <f t="shared" si="67"/>
        <v/>
      </c>
      <c r="BU96" s="532" t="str">
        <f t="shared" si="68"/>
        <v/>
      </c>
      <c r="BV96" s="532" t="str">
        <f t="shared" si="49"/>
        <v/>
      </c>
      <c r="BW96" s="532" t="str">
        <f t="shared" si="50"/>
        <v/>
      </c>
      <c r="BX96" s="532" t="str">
        <f t="shared" si="51"/>
        <v/>
      </c>
      <c r="BY96" s="532" t="str">
        <f t="shared" si="51"/>
        <v/>
      </c>
      <c r="BZ96" s="532" t="str">
        <f t="shared" si="51"/>
        <v/>
      </c>
      <c r="CA96" s="532" t="str">
        <f t="shared" si="69"/>
        <v/>
      </c>
      <c r="CB96" s="532" t="str">
        <f t="shared" si="52"/>
        <v/>
      </c>
      <c r="CC96" s="532" t="str">
        <f t="shared" si="70"/>
        <v/>
      </c>
      <c r="CD96" s="532" t="str">
        <f t="shared" si="71"/>
        <v/>
      </c>
      <c r="CE96" s="532" t="str">
        <f t="shared" si="53"/>
        <v/>
      </c>
      <c r="CF96" s="533" t="str">
        <f t="shared" si="54"/>
        <v/>
      </c>
      <c r="CG96" s="534" t="str">
        <f t="shared" si="72"/>
        <v/>
      </c>
      <c r="CH96" s="424"/>
      <c r="CI96" s="531" t="str">
        <f t="shared" si="73"/>
        <v/>
      </c>
      <c r="CJ96" s="534" t="str">
        <f t="shared" si="74"/>
        <v/>
      </c>
      <c r="CK96" s="424"/>
      <c r="CL96" s="531" t="str">
        <f t="shared" si="75"/>
        <v/>
      </c>
      <c r="CM96" s="534" t="str">
        <f t="shared" si="76"/>
        <v/>
      </c>
      <c r="CN96" s="424"/>
      <c r="CO96" s="531" t="str">
        <f t="shared" si="55"/>
        <v/>
      </c>
      <c r="CP96" s="532" t="str">
        <f t="shared" si="56"/>
        <v/>
      </c>
      <c r="CQ96" s="534" t="str">
        <f t="shared" si="57"/>
        <v/>
      </c>
      <c r="CR96" s="424"/>
      <c r="CS96" s="531" t="str">
        <f t="shared" si="58"/>
        <v/>
      </c>
      <c r="CT96" s="532" t="str">
        <f t="shared" si="59"/>
        <v/>
      </c>
      <c r="CU96" s="534" t="str">
        <f t="shared" si="60"/>
        <v/>
      </c>
      <c r="CW96" s="535" t="str">
        <f t="shared" si="77"/>
        <v/>
      </c>
      <c r="CX96" s="536">
        <f t="shared" si="78"/>
        <v>0</v>
      </c>
    </row>
    <row r="97" spans="2:102" s="410" customFormat="1" x14ac:dyDescent="0.2">
      <c r="B97" s="169">
        <v>71</v>
      </c>
      <c r="C97" s="517"/>
      <c r="D97" s="518"/>
      <c r="E97" s="519"/>
      <c r="F97" s="518"/>
      <c r="G97" s="518"/>
      <c r="H97" s="518"/>
      <c r="I97" s="518"/>
      <c r="J97" s="519"/>
      <c r="K97" s="520"/>
      <c r="L97" s="520"/>
      <c r="M97" s="520"/>
      <c r="N97" s="521" t="str">
        <f t="shared" si="61"/>
        <v/>
      </c>
      <c r="O97" s="522"/>
      <c r="P97" s="522"/>
      <c r="Q97" s="520"/>
      <c r="R97" s="522"/>
      <c r="S97" s="522"/>
      <c r="T97" s="523"/>
      <c r="U97" s="522"/>
      <c r="V97" s="519"/>
      <c r="W97" s="522"/>
      <c r="X97" s="523"/>
      <c r="Y97" s="522"/>
      <c r="Z97" s="522"/>
      <c r="AA97" s="522"/>
      <c r="AB97" s="522"/>
      <c r="AC97" s="524"/>
      <c r="AD97" s="525"/>
      <c r="AE97" s="525"/>
      <c r="AF97" s="522"/>
      <c r="AG97" s="522"/>
      <c r="AH97" s="522"/>
      <c r="AI97" s="522"/>
      <c r="AJ97" s="522"/>
      <c r="AK97" s="522"/>
      <c r="AL97" s="522"/>
      <c r="AM97" s="526"/>
      <c r="AN97" s="506"/>
      <c r="AO97" s="527" t="str">
        <f t="shared" si="40"/>
        <v/>
      </c>
      <c r="AP97" s="528" t="str">
        <f t="shared" si="62"/>
        <v/>
      </c>
      <c r="AQ97" s="506"/>
      <c r="AR97" s="527" t="str">
        <f t="shared" si="41"/>
        <v/>
      </c>
      <c r="AS97" s="528" t="str">
        <f t="shared" si="63"/>
        <v/>
      </c>
      <c r="AT97" s="506"/>
      <c r="AU97" s="506"/>
      <c r="AV97" s="494"/>
      <c r="AW97" s="169">
        <v>71</v>
      </c>
      <c r="AX97" s="529"/>
      <c r="AY97" s="522"/>
      <c r="AZ97" s="524"/>
      <c r="BA97" s="524"/>
      <c r="BB97" s="524"/>
      <c r="BC97" s="524"/>
      <c r="BD97" s="524"/>
      <c r="BE97" s="524"/>
      <c r="BF97" s="524"/>
      <c r="BG97" s="530"/>
      <c r="BH97" s="424"/>
      <c r="BI97" s="424"/>
      <c r="BJ97" s="531" t="str">
        <f t="shared" si="42"/>
        <v/>
      </c>
      <c r="BK97" s="532" t="str">
        <f t="shared" si="43"/>
        <v/>
      </c>
      <c r="BL97" s="532" t="str">
        <f t="shared" si="64"/>
        <v/>
      </c>
      <c r="BM97" s="532" t="str">
        <f t="shared" si="65"/>
        <v/>
      </c>
      <c r="BN97" s="532" t="str">
        <f t="shared" si="66"/>
        <v/>
      </c>
      <c r="BO97" s="532" t="str">
        <f t="shared" si="44"/>
        <v/>
      </c>
      <c r="BP97" s="532" t="str">
        <f t="shared" si="45"/>
        <v/>
      </c>
      <c r="BQ97" s="532" t="str">
        <f t="shared" si="46"/>
        <v/>
      </c>
      <c r="BR97" s="532" t="str">
        <f t="shared" si="47"/>
        <v/>
      </c>
      <c r="BS97" s="532" t="str">
        <f t="shared" si="48"/>
        <v/>
      </c>
      <c r="BT97" s="532" t="str">
        <f t="shared" si="67"/>
        <v/>
      </c>
      <c r="BU97" s="532" t="str">
        <f t="shared" si="68"/>
        <v/>
      </c>
      <c r="BV97" s="532" t="str">
        <f t="shared" si="49"/>
        <v/>
      </c>
      <c r="BW97" s="532" t="str">
        <f t="shared" si="50"/>
        <v/>
      </c>
      <c r="BX97" s="532" t="str">
        <f t="shared" si="51"/>
        <v/>
      </c>
      <c r="BY97" s="532" t="str">
        <f t="shared" si="51"/>
        <v/>
      </c>
      <c r="BZ97" s="532" t="str">
        <f t="shared" si="51"/>
        <v/>
      </c>
      <c r="CA97" s="532" t="str">
        <f t="shared" si="69"/>
        <v/>
      </c>
      <c r="CB97" s="532" t="str">
        <f t="shared" si="52"/>
        <v/>
      </c>
      <c r="CC97" s="532" t="str">
        <f t="shared" si="70"/>
        <v/>
      </c>
      <c r="CD97" s="532" t="str">
        <f t="shared" si="71"/>
        <v/>
      </c>
      <c r="CE97" s="532" t="str">
        <f t="shared" si="53"/>
        <v/>
      </c>
      <c r="CF97" s="533" t="str">
        <f t="shared" si="54"/>
        <v/>
      </c>
      <c r="CG97" s="534" t="str">
        <f t="shared" si="72"/>
        <v/>
      </c>
      <c r="CH97" s="424"/>
      <c r="CI97" s="531" t="str">
        <f t="shared" si="73"/>
        <v/>
      </c>
      <c r="CJ97" s="534" t="str">
        <f t="shared" si="74"/>
        <v/>
      </c>
      <c r="CK97" s="424"/>
      <c r="CL97" s="531" t="str">
        <f t="shared" si="75"/>
        <v/>
      </c>
      <c r="CM97" s="534" t="str">
        <f t="shared" si="76"/>
        <v/>
      </c>
      <c r="CN97" s="424"/>
      <c r="CO97" s="531" t="str">
        <f t="shared" si="55"/>
        <v/>
      </c>
      <c r="CP97" s="532" t="str">
        <f t="shared" si="56"/>
        <v/>
      </c>
      <c r="CQ97" s="534" t="str">
        <f t="shared" si="57"/>
        <v/>
      </c>
      <c r="CR97" s="424"/>
      <c r="CS97" s="531" t="str">
        <f t="shared" si="58"/>
        <v/>
      </c>
      <c r="CT97" s="532" t="str">
        <f t="shared" si="59"/>
        <v/>
      </c>
      <c r="CU97" s="534" t="str">
        <f t="shared" si="60"/>
        <v/>
      </c>
      <c r="CW97" s="535" t="str">
        <f t="shared" si="77"/>
        <v/>
      </c>
      <c r="CX97" s="536">
        <f t="shared" si="78"/>
        <v>0</v>
      </c>
    </row>
    <row r="98" spans="2:102" s="410" customFormat="1" x14ac:dyDescent="0.2">
      <c r="B98" s="169">
        <v>72</v>
      </c>
      <c r="C98" s="517"/>
      <c r="D98" s="518"/>
      <c r="E98" s="519"/>
      <c r="F98" s="518"/>
      <c r="G98" s="518"/>
      <c r="H98" s="518"/>
      <c r="I98" s="518"/>
      <c r="J98" s="519"/>
      <c r="K98" s="520"/>
      <c r="L98" s="520"/>
      <c r="M98" s="520"/>
      <c r="N98" s="521" t="str">
        <f t="shared" si="61"/>
        <v/>
      </c>
      <c r="O98" s="522"/>
      <c r="P98" s="522"/>
      <c r="Q98" s="520"/>
      <c r="R98" s="522"/>
      <c r="S98" s="522"/>
      <c r="T98" s="523"/>
      <c r="U98" s="522"/>
      <c r="V98" s="519"/>
      <c r="W98" s="522"/>
      <c r="X98" s="523"/>
      <c r="Y98" s="522"/>
      <c r="Z98" s="522"/>
      <c r="AA98" s="522"/>
      <c r="AB98" s="522"/>
      <c r="AC98" s="524"/>
      <c r="AD98" s="525"/>
      <c r="AE98" s="525"/>
      <c r="AF98" s="522"/>
      <c r="AG98" s="522"/>
      <c r="AH98" s="522"/>
      <c r="AI98" s="522"/>
      <c r="AJ98" s="522"/>
      <c r="AK98" s="522"/>
      <c r="AL98" s="522"/>
      <c r="AM98" s="526"/>
      <c r="AN98" s="506"/>
      <c r="AO98" s="527" t="str">
        <f t="shared" si="40"/>
        <v/>
      </c>
      <c r="AP98" s="528" t="str">
        <f t="shared" si="62"/>
        <v/>
      </c>
      <c r="AQ98" s="506"/>
      <c r="AR98" s="527" t="str">
        <f t="shared" si="41"/>
        <v/>
      </c>
      <c r="AS98" s="528" t="str">
        <f t="shared" si="63"/>
        <v/>
      </c>
      <c r="AT98" s="506"/>
      <c r="AU98" s="506"/>
      <c r="AV98" s="494"/>
      <c r="AW98" s="169">
        <v>72</v>
      </c>
      <c r="AX98" s="529"/>
      <c r="AY98" s="522"/>
      <c r="AZ98" s="524"/>
      <c r="BA98" s="524"/>
      <c r="BB98" s="524"/>
      <c r="BC98" s="524"/>
      <c r="BD98" s="524"/>
      <c r="BE98" s="524"/>
      <c r="BF98" s="524"/>
      <c r="BG98" s="530"/>
      <c r="BH98" s="424"/>
      <c r="BI98" s="424"/>
      <c r="BJ98" s="531" t="str">
        <f t="shared" si="42"/>
        <v/>
      </c>
      <c r="BK98" s="532" t="str">
        <f t="shared" si="43"/>
        <v/>
      </c>
      <c r="BL98" s="532" t="str">
        <f t="shared" si="64"/>
        <v/>
      </c>
      <c r="BM98" s="532" t="str">
        <f t="shared" si="65"/>
        <v/>
      </c>
      <c r="BN98" s="532" t="str">
        <f t="shared" si="66"/>
        <v/>
      </c>
      <c r="BO98" s="532" t="str">
        <f t="shared" si="44"/>
        <v/>
      </c>
      <c r="BP98" s="532" t="str">
        <f t="shared" si="45"/>
        <v/>
      </c>
      <c r="BQ98" s="532" t="str">
        <f t="shared" si="46"/>
        <v/>
      </c>
      <c r="BR98" s="532" t="str">
        <f t="shared" si="47"/>
        <v/>
      </c>
      <c r="BS98" s="532" t="str">
        <f t="shared" si="48"/>
        <v/>
      </c>
      <c r="BT98" s="532" t="str">
        <f t="shared" si="67"/>
        <v/>
      </c>
      <c r="BU98" s="532" t="str">
        <f t="shared" si="68"/>
        <v/>
      </c>
      <c r="BV98" s="532" t="str">
        <f t="shared" si="49"/>
        <v/>
      </c>
      <c r="BW98" s="532" t="str">
        <f t="shared" si="50"/>
        <v/>
      </c>
      <c r="BX98" s="532" t="str">
        <f t="shared" si="51"/>
        <v/>
      </c>
      <c r="BY98" s="532" t="str">
        <f t="shared" si="51"/>
        <v/>
      </c>
      <c r="BZ98" s="532" t="str">
        <f t="shared" si="51"/>
        <v/>
      </c>
      <c r="CA98" s="532" t="str">
        <f t="shared" si="69"/>
        <v/>
      </c>
      <c r="CB98" s="532" t="str">
        <f t="shared" si="52"/>
        <v/>
      </c>
      <c r="CC98" s="532" t="str">
        <f t="shared" si="70"/>
        <v/>
      </c>
      <c r="CD98" s="532" t="str">
        <f t="shared" si="71"/>
        <v/>
      </c>
      <c r="CE98" s="532" t="str">
        <f t="shared" si="53"/>
        <v/>
      </c>
      <c r="CF98" s="533" t="str">
        <f t="shared" si="54"/>
        <v/>
      </c>
      <c r="CG98" s="534" t="str">
        <f t="shared" si="72"/>
        <v/>
      </c>
      <c r="CH98" s="424"/>
      <c r="CI98" s="531" t="str">
        <f t="shared" si="73"/>
        <v/>
      </c>
      <c r="CJ98" s="534" t="str">
        <f t="shared" si="74"/>
        <v/>
      </c>
      <c r="CK98" s="424"/>
      <c r="CL98" s="531" t="str">
        <f t="shared" si="75"/>
        <v/>
      </c>
      <c r="CM98" s="534" t="str">
        <f t="shared" si="76"/>
        <v/>
      </c>
      <c r="CN98" s="424"/>
      <c r="CO98" s="531" t="str">
        <f t="shared" si="55"/>
        <v/>
      </c>
      <c r="CP98" s="532" t="str">
        <f t="shared" si="56"/>
        <v/>
      </c>
      <c r="CQ98" s="534" t="str">
        <f t="shared" si="57"/>
        <v/>
      </c>
      <c r="CR98" s="424"/>
      <c r="CS98" s="531" t="str">
        <f t="shared" si="58"/>
        <v/>
      </c>
      <c r="CT98" s="532" t="str">
        <f t="shared" si="59"/>
        <v/>
      </c>
      <c r="CU98" s="534" t="str">
        <f t="shared" si="60"/>
        <v/>
      </c>
      <c r="CW98" s="535" t="str">
        <f t="shared" si="77"/>
        <v/>
      </c>
      <c r="CX98" s="536">
        <f t="shared" si="78"/>
        <v>0</v>
      </c>
    </row>
    <row r="99" spans="2:102" s="410" customFormat="1" x14ac:dyDescent="0.2">
      <c r="B99" s="169">
        <v>73</v>
      </c>
      <c r="C99" s="517"/>
      <c r="D99" s="518"/>
      <c r="E99" s="519"/>
      <c r="F99" s="518"/>
      <c r="G99" s="518"/>
      <c r="H99" s="518"/>
      <c r="I99" s="518"/>
      <c r="J99" s="519"/>
      <c r="K99" s="520"/>
      <c r="L99" s="520"/>
      <c r="M99" s="520"/>
      <c r="N99" s="521" t="str">
        <f t="shared" si="61"/>
        <v/>
      </c>
      <c r="O99" s="522"/>
      <c r="P99" s="522"/>
      <c r="Q99" s="520"/>
      <c r="R99" s="522"/>
      <c r="S99" s="522"/>
      <c r="T99" s="523"/>
      <c r="U99" s="522"/>
      <c r="V99" s="519"/>
      <c r="W99" s="522"/>
      <c r="X99" s="523"/>
      <c r="Y99" s="522"/>
      <c r="Z99" s="522"/>
      <c r="AA99" s="522"/>
      <c r="AB99" s="522"/>
      <c r="AC99" s="524"/>
      <c r="AD99" s="525"/>
      <c r="AE99" s="525"/>
      <c r="AF99" s="522"/>
      <c r="AG99" s="522"/>
      <c r="AH99" s="522"/>
      <c r="AI99" s="522"/>
      <c r="AJ99" s="522"/>
      <c r="AK99" s="522"/>
      <c r="AL99" s="522"/>
      <c r="AM99" s="526"/>
      <c r="AN99" s="506"/>
      <c r="AO99" s="527" t="str">
        <f t="shared" si="40"/>
        <v/>
      </c>
      <c r="AP99" s="528" t="str">
        <f t="shared" si="62"/>
        <v/>
      </c>
      <c r="AQ99" s="506"/>
      <c r="AR99" s="527" t="str">
        <f t="shared" si="41"/>
        <v/>
      </c>
      <c r="AS99" s="528" t="str">
        <f t="shared" si="63"/>
        <v/>
      </c>
      <c r="AT99" s="506"/>
      <c r="AU99" s="506"/>
      <c r="AV99" s="494"/>
      <c r="AW99" s="169">
        <v>73</v>
      </c>
      <c r="AX99" s="529"/>
      <c r="AY99" s="522"/>
      <c r="AZ99" s="524"/>
      <c r="BA99" s="524"/>
      <c r="BB99" s="524"/>
      <c r="BC99" s="524"/>
      <c r="BD99" s="524"/>
      <c r="BE99" s="524"/>
      <c r="BF99" s="524"/>
      <c r="BG99" s="530"/>
      <c r="BH99" s="424"/>
      <c r="BI99" s="424"/>
      <c r="BJ99" s="531" t="str">
        <f t="shared" si="42"/>
        <v/>
      </c>
      <c r="BK99" s="532" t="str">
        <f t="shared" si="43"/>
        <v/>
      </c>
      <c r="BL99" s="532" t="str">
        <f t="shared" si="64"/>
        <v/>
      </c>
      <c r="BM99" s="532" t="str">
        <f t="shared" si="65"/>
        <v/>
      </c>
      <c r="BN99" s="532" t="str">
        <f t="shared" si="66"/>
        <v/>
      </c>
      <c r="BO99" s="532" t="str">
        <f t="shared" si="44"/>
        <v/>
      </c>
      <c r="BP99" s="532" t="str">
        <f t="shared" si="45"/>
        <v/>
      </c>
      <c r="BQ99" s="532" t="str">
        <f t="shared" si="46"/>
        <v/>
      </c>
      <c r="BR99" s="532" t="str">
        <f t="shared" si="47"/>
        <v/>
      </c>
      <c r="BS99" s="532" t="str">
        <f t="shared" si="48"/>
        <v/>
      </c>
      <c r="BT99" s="532" t="str">
        <f t="shared" si="67"/>
        <v/>
      </c>
      <c r="BU99" s="532" t="str">
        <f t="shared" si="68"/>
        <v/>
      </c>
      <c r="BV99" s="532" t="str">
        <f t="shared" si="49"/>
        <v/>
      </c>
      <c r="BW99" s="532" t="str">
        <f t="shared" si="50"/>
        <v/>
      </c>
      <c r="BX99" s="532" t="str">
        <f t="shared" si="51"/>
        <v/>
      </c>
      <c r="BY99" s="532" t="str">
        <f t="shared" si="51"/>
        <v/>
      </c>
      <c r="BZ99" s="532" t="str">
        <f t="shared" si="51"/>
        <v/>
      </c>
      <c r="CA99" s="532" t="str">
        <f t="shared" si="69"/>
        <v/>
      </c>
      <c r="CB99" s="532" t="str">
        <f t="shared" si="52"/>
        <v/>
      </c>
      <c r="CC99" s="532" t="str">
        <f t="shared" si="70"/>
        <v/>
      </c>
      <c r="CD99" s="532" t="str">
        <f t="shared" si="71"/>
        <v/>
      </c>
      <c r="CE99" s="532" t="str">
        <f t="shared" si="53"/>
        <v/>
      </c>
      <c r="CF99" s="533" t="str">
        <f t="shared" si="54"/>
        <v/>
      </c>
      <c r="CG99" s="534" t="str">
        <f t="shared" si="72"/>
        <v/>
      </c>
      <c r="CH99" s="424"/>
      <c r="CI99" s="531" t="str">
        <f t="shared" si="73"/>
        <v/>
      </c>
      <c r="CJ99" s="534" t="str">
        <f t="shared" si="74"/>
        <v/>
      </c>
      <c r="CK99" s="424"/>
      <c r="CL99" s="531" t="str">
        <f t="shared" si="75"/>
        <v/>
      </c>
      <c r="CM99" s="534" t="str">
        <f t="shared" si="76"/>
        <v/>
      </c>
      <c r="CN99" s="424"/>
      <c r="CO99" s="531" t="str">
        <f t="shared" si="55"/>
        <v/>
      </c>
      <c r="CP99" s="532" t="str">
        <f t="shared" si="56"/>
        <v/>
      </c>
      <c r="CQ99" s="534" t="str">
        <f t="shared" si="57"/>
        <v/>
      </c>
      <c r="CR99" s="424"/>
      <c r="CS99" s="531" t="str">
        <f t="shared" si="58"/>
        <v/>
      </c>
      <c r="CT99" s="532" t="str">
        <f t="shared" si="59"/>
        <v/>
      </c>
      <c r="CU99" s="534" t="str">
        <f t="shared" si="60"/>
        <v/>
      </c>
      <c r="CW99" s="535" t="str">
        <f t="shared" si="77"/>
        <v/>
      </c>
      <c r="CX99" s="536">
        <f t="shared" si="78"/>
        <v>0</v>
      </c>
    </row>
    <row r="100" spans="2:102" s="410" customFormat="1" x14ac:dyDescent="0.2">
      <c r="B100" s="169">
        <v>74</v>
      </c>
      <c r="C100" s="517"/>
      <c r="D100" s="518"/>
      <c r="E100" s="519"/>
      <c r="F100" s="518"/>
      <c r="G100" s="518"/>
      <c r="H100" s="518"/>
      <c r="I100" s="518"/>
      <c r="J100" s="519"/>
      <c r="K100" s="520"/>
      <c r="L100" s="520"/>
      <c r="M100" s="520"/>
      <c r="N100" s="521" t="str">
        <f t="shared" si="61"/>
        <v/>
      </c>
      <c r="O100" s="522"/>
      <c r="P100" s="522"/>
      <c r="Q100" s="520"/>
      <c r="R100" s="522"/>
      <c r="S100" s="522"/>
      <c r="T100" s="523"/>
      <c r="U100" s="522"/>
      <c r="V100" s="519"/>
      <c r="W100" s="522"/>
      <c r="X100" s="523"/>
      <c r="Y100" s="522"/>
      <c r="Z100" s="522"/>
      <c r="AA100" s="522"/>
      <c r="AB100" s="522"/>
      <c r="AC100" s="524"/>
      <c r="AD100" s="525"/>
      <c r="AE100" s="525"/>
      <c r="AF100" s="522"/>
      <c r="AG100" s="522"/>
      <c r="AH100" s="522"/>
      <c r="AI100" s="522"/>
      <c r="AJ100" s="522"/>
      <c r="AK100" s="522"/>
      <c r="AL100" s="522"/>
      <c r="AM100" s="526"/>
      <c r="AN100" s="506"/>
      <c r="AO100" s="527" t="str">
        <f t="shared" si="40"/>
        <v/>
      </c>
      <c r="AP100" s="528" t="str">
        <f t="shared" si="62"/>
        <v/>
      </c>
      <c r="AQ100" s="506"/>
      <c r="AR100" s="527" t="str">
        <f t="shared" si="41"/>
        <v/>
      </c>
      <c r="AS100" s="528" t="str">
        <f t="shared" si="63"/>
        <v/>
      </c>
      <c r="AT100" s="506"/>
      <c r="AU100" s="506"/>
      <c r="AV100" s="494"/>
      <c r="AW100" s="169">
        <v>74</v>
      </c>
      <c r="AX100" s="529"/>
      <c r="AY100" s="522"/>
      <c r="AZ100" s="524"/>
      <c r="BA100" s="524"/>
      <c r="BB100" s="524"/>
      <c r="BC100" s="524"/>
      <c r="BD100" s="524"/>
      <c r="BE100" s="524"/>
      <c r="BF100" s="524"/>
      <c r="BG100" s="530"/>
      <c r="BH100" s="424"/>
      <c r="BI100" s="424"/>
      <c r="BJ100" s="531" t="str">
        <f t="shared" si="42"/>
        <v/>
      </c>
      <c r="BK100" s="532" t="str">
        <f t="shared" si="43"/>
        <v/>
      </c>
      <c r="BL100" s="532" t="str">
        <f t="shared" si="64"/>
        <v/>
      </c>
      <c r="BM100" s="532" t="str">
        <f t="shared" si="65"/>
        <v/>
      </c>
      <c r="BN100" s="532" t="str">
        <f t="shared" si="66"/>
        <v/>
      </c>
      <c r="BO100" s="532" t="str">
        <f t="shared" si="44"/>
        <v/>
      </c>
      <c r="BP100" s="532" t="str">
        <f t="shared" si="45"/>
        <v/>
      </c>
      <c r="BQ100" s="532" t="str">
        <f t="shared" si="46"/>
        <v/>
      </c>
      <c r="BR100" s="532" t="str">
        <f t="shared" si="47"/>
        <v/>
      </c>
      <c r="BS100" s="532" t="str">
        <f t="shared" si="48"/>
        <v/>
      </c>
      <c r="BT100" s="532" t="str">
        <f t="shared" si="67"/>
        <v/>
      </c>
      <c r="BU100" s="532" t="str">
        <f t="shared" si="68"/>
        <v/>
      </c>
      <c r="BV100" s="532" t="str">
        <f t="shared" si="49"/>
        <v/>
      </c>
      <c r="BW100" s="532" t="str">
        <f t="shared" si="50"/>
        <v/>
      </c>
      <c r="BX100" s="532" t="str">
        <f t="shared" si="51"/>
        <v/>
      </c>
      <c r="BY100" s="532" t="str">
        <f t="shared" si="51"/>
        <v/>
      </c>
      <c r="BZ100" s="532" t="str">
        <f t="shared" si="51"/>
        <v/>
      </c>
      <c r="CA100" s="532" t="str">
        <f t="shared" si="69"/>
        <v/>
      </c>
      <c r="CB100" s="532" t="str">
        <f t="shared" si="52"/>
        <v/>
      </c>
      <c r="CC100" s="532" t="str">
        <f t="shared" si="70"/>
        <v/>
      </c>
      <c r="CD100" s="532" t="str">
        <f t="shared" si="71"/>
        <v/>
      </c>
      <c r="CE100" s="532" t="str">
        <f t="shared" si="53"/>
        <v/>
      </c>
      <c r="CF100" s="533" t="str">
        <f t="shared" si="54"/>
        <v/>
      </c>
      <c r="CG100" s="534" t="str">
        <f t="shared" si="72"/>
        <v/>
      </c>
      <c r="CH100" s="424"/>
      <c r="CI100" s="531" t="str">
        <f t="shared" si="73"/>
        <v/>
      </c>
      <c r="CJ100" s="534" t="str">
        <f t="shared" si="74"/>
        <v/>
      </c>
      <c r="CK100" s="424"/>
      <c r="CL100" s="531" t="str">
        <f t="shared" si="75"/>
        <v/>
      </c>
      <c r="CM100" s="534" t="str">
        <f t="shared" si="76"/>
        <v/>
      </c>
      <c r="CN100" s="424"/>
      <c r="CO100" s="531" t="str">
        <f t="shared" si="55"/>
        <v/>
      </c>
      <c r="CP100" s="532" t="str">
        <f t="shared" si="56"/>
        <v/>
      </c>
      <c r="CQ100" s="534" t="str">
        <f t="shared" si="57"/>
        <v/>
      </c>
      <c r="CR100" s="424"/>
      <c r="CS100" s="531" t="str">
        <f t="shared" si="58"/>
        <v/>
      </c>
      <c r="CT100" s="532" t="str">
        <f t="shared" si="59"/>
        <v/>
      </c>
      <c r="CU100" s="534" t="str">
        <f t="shared" si="60"/>
        <v/>
      </c>
      <c r="CW100" s="535" t="str">
        <f t="shared" si="77"/>
        <v/>
      </c>
      <c r="CX100" s="536">
        <f t="shared" si="78"/>
        <v>0</v>
      </c>
    </row>
    <row r="101" spans="2:102" s="410" customFormat="1" x14ac:dyDescent="0.2">
      <c r="B101" s="169">
        <v>75</v>
      </c>
      <c r="C101" s="517"/>
      <c r="D101" s="518"/>
      <c r="E101" s="519"/>
      <c r="F101" s="518"/>
      <c r="G101" s="518"/>
      <c r="H101" s="518"/>
      <c r="I101" s="518"/>
      <c r="J101" s="519"/>
      <c r="K101" s="520"/>
      <c r="L101" s="520"/>
      <c r="M101" s="520"/>
      <c r="N101" s="521" t="str">
        <f t="shared" si="61"/>
        <v/>
      </c>
      <c r="O101" s="522"/>
      <c r="P101" s="522"/>
      <c r="Q101" s="520"/>
      <c r="R101" s="522"/>
      <c r="S101" s="522"/>
      <c r="T101" s="523"/>
      <c r="U101" s="522"/>
      <c r="V101" s="519"/>
      <c r="W101" s="522"/>
      <c r="X101" s="523"/>
      <c r="Y101" s="522"/>
      <c r="Z101" s="522"/>
      <c r="AA101" s="522"/>
      <c r="AB101" s="522"/>
      <c r="AC101" s="524"/>
      <c r="AD101" s="525"/>
      <c r="AE101" s="525"/>
      <c r="AF101" s="522"/>
      <c r="AG101" s="522"/>
      <c r="AH101" s="522"/>
      <c r="AI101" s="522"/>
      <c r="AJ101" s="522"/>
      <c r="AK101" s="522"/>
      <c r="AL101" s="522"/>
      <c r="AM101" s="526"/>
      <c r="AN101" s="506"/>
      <c r="AO101" s="527" t="str">
        <f t="shared" si="40"/>
        <v/>
      </c>
      <c r="AP101" s="528" t="str">
        <f t="shared" si="62"/>
        <v/>
      </c>
      <c r="AQ101" s="506"/>
      <c r="AR101" s="527" t="str">
        <f t="shared" si="41"/>
        <v/>
      </c>
      <c r="AS101" s="528" t="str">
        <f t="shared" si="63"/>
        <v/>
      </c>
      <c r="AT101" s="506"/>
      <c r="AU101" s="506"/>
      <c r="AV101" s="494"/>
      <c r="AW101" s="169">
        <v>75</v>
      </c>
      <c r="AX101" s="529"/>
      <c r="AY101" s="522"/>
      <c r="AZ101" s="524"/>
      <c r="BA101" s="524"/>
      <c r="BB101" s="524"/>
      <c r="BC101" s="524"/>
      <c r="BD101" s="524"/>
      <c r="BE101" s="524"/>
      <c r="BF101" s="524"/>
      <c r="BG101" s="530"/>
      <c r="BH101" s="424"/>
      <c r="BI101" s="424"/>
      <c r="BJ101" s="531" t="str">
        <f t="shared" si="42"/>
        <v/>
      </c>
      <c r="BK101" s="532" t="str">
        <f t="shared" si="43"/>
        <v/>
      </c>
      <c r="BL101" s="532" t="str">
        <f t="shared" si="64"/>
        <v/>
      </c>
      <c r="BM101" s="532" t="str">
        <f t="shared" si="65"/>
        <v/>
      </c>
      <c r="BN101" s="532" t="str">
        <f t="shared" si="66"/>
        <v/>
      </c>
      <c r="BO101" s="532" t="str">
        <f t="shared" si="44"/>
        <v/>
      </c>
      <c r="BP101" s="532" t="str">
        <f t="shared" si="45"/>
        <v/>
      </c>
      <c r="BQ101" s="532" t="str">
        <f t="shared" si="46"/>
        <v/>
      </c>
      <c r="BR101" s="532" t="str">
        <f t="shared" si="47"/>
        <v/>
      </c>
      <c r="BS101" s="532" t="str">
        <f t="shared" si="48"/>
        <v/>
      </c>
      <c r="BT101" s="532" t="str">
        <f t="shared" si="67"/>
        <v/>
      </c>
      <c r="BU101" s="532" t="str">
        <f t="shared" si="68"/>
        <v/>
      </c>
      <c r="BV101" s="532" t="str">
        <f t="shared" si="49"/>
        <v/>
      </c>
      <c r="BW101" s="532" t="str">
        <f t="shared" si="50"/>
        <v/>
      </c>
      <c r="BX101" s="532" t="str">
        <f t="shared" si="51"/>
        <v/>
      </c>
      <c r="BY101" s="532" t="str">
        <f t="shared" si="51"/>
        <v/>
      </c>
      <c r="BZ101" s="532" t="str">
        <f t="shared" si="51"/>
        <v/>
      </c>
      <c r="CA101" s="532" t="str">
        <f t="shared" si="69"/>
        <v/>
      </c>
      <c r="CB101" s="532" t="str">
        <f t="shared" si="52"/>
        <v/>
      </c>
      <c r="CC101" s="532" t="str">
        <f t="shared" si="70"/>
        <v/>
      </c>
      <c r="CD101" s="532" t="str">
        <f t="shared" si="71"/>
        <v/>
      </c>
      <c r="CE101" s="532" t="str">
        <f t="shared" si="53"/>
        <v/>
      </c>
      <c r="CF101" s="533" t="str">
        <f t="shared" si="54"/>
        <v/>
      </c>
      <c r="CG101" s="534" t="str">
        <f t="shared" si="72"/>
        <v/>
      </c>
      <c r="CH101" s="424"/>
      <c r="CI101" s="531" t="str">
        <f t="shared" si="73"/>
        <v/>
      </c>
      <c r="CJ101" s="534" t="str">
        <f t="shared" si="74"/>
        <v/>
      </c>
      <c r="CK101" s="424"/>
      <c r="CL101" s="531" t="str">
        <f t="shared" si="75"/>
        <v/>
      </c>
      <c r="CM101" s="534" t="str">
        <f t="shared" si="76"/>
        <v/>
      </c>
      <c r="CN101" s="424"/>
      <c r="CO101" s="531" t="str">
        <f t="shared" si="55"/>
        <v/>
      </c>
      <c r="CP101" s="532" t="str">
        <f t="shared" si="56"/>
        <v/>
      </c>
      <c r="CQ101" s="534" t="str">
        <f t="shared" si="57"/>
        <v/>
      </c>
      <c r="CR101" s="424"/>
      <c r="CS101" s="531" t="str">
        <f t="shared" si="58"/>
        <v/>
      </c>
      <c r="CT101" s="532" t="str">
        <f t="shared" si="59"/>
        <v/>
      </c>
      <c r="CU101" s="534" t="str">
        <f t="shared" si="60"/>
        <v/>
      </c>
      <c r="CW101" s="535" t="str">
        <f t="shared" si="77"/>
        <v/>
      </c>
      <c r="CX101" s="536">
        <f t="shared" si="78"/>
        <v>0</v>
      </c>
    </row>
    <row r="102" spans="2:102" s="410" customFormat="1" x14ac:dyDescent="0.2">
      <c r="B102" s="169">
        <v>76</v>
      </c>
      <c r="C102" s="517"/>
      <c r="D102" s="518"/>
      <c r="E102" s="519"/>
      <c r="F102" s="518"/>
      <c r="G102" s="518"/>
      <c r="H102" s="518"/>
      <c r="I102" s="518"/>
      <c r="J102" s="519"/>
      <c r="K102" s="520"/>
      <c r="L102" s="520"/>
      <c r="M102" s="520"/>
      <c r="N102" s="521" t="str">
        <f t="shared" si="61"/>
        <v/>
      </c>
      <c r="O102" s="522"/>
      <c r="P102" s="522"/>
      <c r="Q102" s="520"/>
      <c r="R102" s="522"/>
      <c r="S102" s="522"/>
      <c r="T102" s="523"/>
      <c r="U102" s="522"/>
      <c r="V102" s="519"/>
      <c r="W102" s="522"/>
      <c r="X102" s="523"/>
      <c r="Y102" s="522"/>
      <c r="Z102" s="522"/>
      <c r="AA102" s="522"/>
      <c r="AB102" s="522"/>
      <c r="AC102" s="524"/>
      <c r="AD102" s="525"/>
      <c r="AE102" s="525"/>
      <c r="AF102" s="522"/>
      <c r="AG102" s="522"/>
      <c r="AH102" s="522"/>
      <c r="AI102" s="522"/>
      <c r="AJ102" s="522"/>
      <c r="AK102" s="522"/>
      <c r="AL102" s="522"/>
      <c r="AM102" s="526"/>
      <c r="AN102" s="506"/>
      <c r="AO102" s="527" t="str">
        <f t="shared" si="40"/>
        <v/>
      </c>
      <c r="AP102" s="528" t="str">
        <f t="shared" si="62"/>
        <v/>
      </c>
      <c r="AQ102" s="506"/>
      <c r="AR102" s="527" t="str">
        <f t="shared" si="41"/>
        <v/>
      </c>
      <c r="AS102" s="528" t="str">
        <f t="shared" si="63"/>
        <v/>
      </c>
      <c r="AT102" s="506"/>
      <c r="AU102" s="506"/>
      <c r="AV102" s="494"/>
      <c r="AW102" s="169">
        <v>76</v>
      </c>
      <c r="AX102" s="529"/>
      <c r="AY102" s="522"/>
      <c r="AZ102" s="524"/>
      <c r="BA102" s="524"/>
      <c r="BB102" s="524"/>
      <c r="BC102" s="524"/>
      <c r="BD102" s="524"/>
      <c r="BE102" s="524"/>
      <c r="BF102" s="524"/>
      <c r="BG102" s="530"/>
      <c r="BH102" s="424"/>
      <c r="BI102" s="424"/>
      <c r="BJ102" s="531" t="str">
        <f t="shared" si="42"/>
        <v/>
      </c>
      <c r="BK102" s="532" t="str">
        <f t="shared" si="43"/>
        <v/>
      </c>
      <c r="BL102" s="532" t="str">
        <f t="shared" si="64"/>
        <v/>
      </c>
      <c r="BM102" s="532" t="str">
        <f t="shared" si="65"/>
        <v/>
      </c>
      <c r="BN102" s="532" t="str">
        <f t="shared" si="66"/>
        <v/>
      </c>
      <c r="BO102" s="532" t="str">
        <f t="shared" si="44"/>
        <v/>
      </c>
      <c r="BP102" s="532" t="str">
        <f t="shared" si="45"/>
        <v/>
      </c>
      <c r="BQ102" s="532" t="str">
        <f t="shared" si="46"/>
        <v/>
      </c>
      <c r="BR102" s="532" t="str">
        <f t="shared" si="47"/>
        <v/>
      </c>
      <c r="BS102" s="532" t="str">
        <f t="shared" si="48"/>
        <v/>
      </c>
      <c r="BT102" s="532" t="str">
        <f t="shared" si="67"/>
        <v/>
      </c>
      <c r="BU102" s="532" t="str">
        <f t="shared" si="68"/>
        <v/>
      </c>
      <c r="BV102" s="532" t="str">
        <f t="shared" si="49"/>
        <v/>
      </c>
      <c r="BW102" s="532" t="str">
        <f t="shared" si="50"/>
        <v/>
      </c>
      <c r="BX102" s="532" t="str">
        <f t="shared" si="51"/>
        <v/>
      </c>
      <c r="BY102" s="532" t="str">
        <f t="shared" si="51"/>
        <v/>
      </c>
      <c r="BZ102" s="532" t="str">
        <f t="shared" si="51"/>
        <v/>
      </c>
      <c r="CA102" s="532" t="str">
        <f t="shared" si="69"/>
        <v/>
      </c>
      <c r="CB102" s="532" t="str">
        <f t="shared" si="52"/>
        <v/>
      </c>
      <c r="CC102" s="532" t="str">
        <f t="shared" si="70"/>
        <v/>
      </c>
      <c r="CD102" s="532" t="str">
        <f t="shared" si="71"/>
        <v/>
      </c>
      <c r="CE102" s="532" t="str">
        <f t="shared" si="53"/>
        <v/>
      </c>
      <c r="CF102" s="533" t="str">
        <f t="shared" si="54"/>
        <v/>
      </c>
      <c r="CG102" s="534" t="str">
        <f t="shared" si="72"/>
        <v/>
      </c>
      <c r="CH102" s="424"/>
      <c r="CI102" s="531" t="str">
        <f t="shared" si="73"/>
        <v/>
      </c>
      <c r="CJ102" s="534" t="str">
        <f t="shared" si="74"/>
        <v/>
      </c>
      <c r="CK102" s="424"/>
      <c r="CL102" s="531" t="str">
        <f t="shared" si="75"/>
        <v/>
      </c>
      <c r="CM102" s="534" t="str">
        <f t="shared" si="76"/>
        <v/>
      </c>
      <c r="CN102" s="424"/>
      <c r="CO102" s="531" t="str">
        <f t="shared" si="55"/>
        <v/>
      </c>
      <c r="CP102" s="532" t="str">
        <f t="shared" si="56"/>
        <v/>
      </c>
      <c r="CQ102" s="534" t="str">
        <f t="shared" si="57"/>
        <v/>
      </c>
      <c r="CR102" s="424"/>
      <c r="CS102" s="531" t="str">
        <f t="shared" si="58"/>
        <v/>
      </c>
      <c r="CT102" s="532" t="str">
        <f t="shared" si="59"/>
        <v/>
      </c>
      <c r="CU102" s="534" t="str">
        <f t="shared" si="60"/>
        <v/>
      </c>
      <c r="CW102" s="535" t="str">
        <f t="shared" si="77"/>
        <v/>
      </c>
      <c r="CX102" s="536">
        <f t="shared" si="78"/>
        <v>0</v>
      </c>
    </row>
    <row r="103" spans="2:102" s="410" customFormat="1" x14ac:dyDescent="0.2">
      <c r="B103" s="169">
        <v>77</v>
      </c>
      <c r="C103" s="517"/>
      <c r="D103" s="518"/>
      <c r="E103" s="519"/>
      <c r="F103" s="518"/>
      <c r="G103" s="518"/>
      <c r="H103" s="518"/>
      <c r="I103" s="518"/>
      <c r="J103" s="519"/>
      <c r="K103" s="520"/>
      <c r="L103" s="520"/>
      <c r="M103" s="520"/>
      <c r="N103" s="521" t="str">
        <f t="shared" si="61"/>
        <v/>
      </c>
      <c r="O103" s="522"/>
      <c r="P103" s="522"/>
      <c r="Q103" s="520"/>
      <c r="R103" s="522"/>
      <c r="S103" s="522"/>
      <c r="T103" s="523"/>
      <c r="U103" s="522"/>
      <c r="V103" s="519"/>
      <c r="W103" s="522"/>
      <c r="X103" s="523"/>
      <c r="Y103" s="522"/>
      <c r="Z103" s="522"/>
      <c r="AA103" s="522"/>
      <c r="AB103" s="522"/>
      <c r="AC103" s="524"/>
      <c r="AD103" s="525"/>
      <c r="AE103" s="525"/>
      <c r="AF103" s="522"/>
      <c r="AG103" s="522"/>
      <c r="AH103" s="522"/>
      <c r="AI103" s="522"/>
      <c r="AJ103" s="522"/>
      <c r="AK103" s="522"/>
      <c r="AL103" s="522"/>
      <c r="AM103" s="526"/>
      <c r="AN103" s="506"/>
      <c r="AO103" s="527" t="str">
        <f t="shared" si="40"/>
        <v/>
      </c>
      <c r="AP103" s="528" t="str">
        <f t="shared" si="62"/>
        <v/>
      </c>
      <c r="AQ103" s="506"/>
      <c r="AR103" s="527" t="str">
        <f t="shared" si="41"/>
        <v/>
      </c>
      <c r="AS103" s="528" t="str">
        <f t="shared" si="63"/>
        <v/>
      </c>
      <c r="AT103" s="506"/>
      <c r="AU103" s="506"/>
      <c r="AV103" s="494"/>
      <c r="AW103" s="169">
        <v>77</v>
      </c>
      <c r="AX103" s="529"/>
      <c r="AY103" s="522"/>
      <c r="AZ103" s="524"/>
      <c r="BA103" s="524"/>
      <c r="BB103" s="524"/>
      <c r="BC103" s="524"/>
      <c r="BD103" s="524"/>
      <c r="BE103" s="524"/>
      <c r="BF103" s="524"/>
      <c r="BG103" s="530"/>
      <c r="BH103" s="424"/>
      <c r="BI103" s="424"/>
      <c r="BJ103" s="531" t="str">
        <f t="shared" si="42"/>
        <v/>
      </c>
      <c r="BK103" s="532" t="str">
        <f t="shared" si="43"/>
        <v/>
      </c>
      <c r="BL103" s="532" t="str">
        <f t="shared" si="64"/>
        <v/>
      </c>
      <c r="BM103" s="532" t="str">
        <f t="shared" si="65"/>
        <v/>
      </c>
      <c r="BN103" s="532" t="str">
        <f t="shared" si="66"/>
        <v/>
      </c>
      <c r="BO103" s="532" t="str">
        <f t="shared" si="44"/>
        <v/>
      </c>
      <c r="BP103" s="532" t="str">
        <f t="shared" si="45"/>
        <v/>
      </c>
      <c r="BQ103" s="532" t="str">
        <f t="shared" si="46"/>
        <v/>
      </c>
      <c r="BR103" s="532" t="str">
        <f t="shared" si="47"/>
        <v/>
      </c>
      <c r="BS103" s="532" t="str">
        <f t="shared" si="48"/>
        <v/>
      </c>
      <c r="BT103" s="532" t="str">
        <f t="shared" si="67"/>
        <v/>
      </c>
      <c r="BU103" s="532" t="str">
        <f t="shared" si="68"/>
        <v/>
      </c>
      <c r="BV103" s="532" t="str">
        <f t="shared" si="49"/>
        <v/>
      </c>
      <c r="BW103" s="532" t="str">
        <f t="shared" si="50"/>
        <v/>
      </c>
      <c r="BX103" s="532" t="str">
        <f t="shared" si="51"/>
        <v/>
      </c>
      <c r="BY103" s="532" t="str">
        <f t="shared" si="51"/>
        <v/>
      </c>
      <c r="BZ103" s="532" t="str">
        <f t="shared" si="51"/>
        <v/>
      </c>
      <c r="CA103" s="532" t="str">
        <f t="shared" si="69"/>
        <v/>
      </c>
      <c r="CB103" s="532" t="str">
        <f t="shared" si="52"/>
        <v/>
      </c>
      <c r="CC103" s="532" t="str">
        <f t="shared" si="70"/>
        <v/>
      </c>
      <c r="CD103" s="532" t="str">
        <f t="shared" si="71"/>
        <v/>
      </c>
      <c r="CE103" s="532" t="str">
        <f t="shared" si="53"/>
        <v/>
      </c>
      <c r="CF103" s="533" t="str">
        <f t="shared" si="54"/>
        <v/>
      </c>
      <c r="CG103" s="534" t="str">
        <f t="shared" si="72"/>
        <v/>
      </c>
      <c r="CH103" s="424"/>
      <c r="CI103" s="531" t="str">
        <f t="shared" si="73"/>
        <v/>
      </c>
      <c r="CJ103" s="534" t="str">
        <f t="shared" si="74"/>
        <v/>
      </c>
      <c r="CK103" s="424"/>
      <c r="CL103" s="531" t="str">
        <f t="shared" si="75"/>
        <v/>
      </c>
      <c r="CM103" s="534" t="str">
        <f t="shared" si="76"/>
        <v/>
      </c>
      <c r="CN103" s="424"/>
      <c r="CO103" s="531" t="str">
        <f t="shared" si="55"/>
        <v/>
      </c>
      <c r="CP103" s="532" t="str">
        <f t="shared" si="56"/>
        <v/>
      </c>
      <c r="CQ103" s="534" t="str">
        <f t="shared" si="57"/>
        <v/>
      </c>
      <c r="CR103" s="424"/>
      <c r="CS103" s="531" t="str">
        <f t="shared" si="58"/>
        <v/>
      </c>
      <c r="CT103" s="532" t="str">
        <f t="shared" si="59"/>
        <v/>
      </c>
      <c r="CU103" s="534" t="str">
        <f t="shared" si="60"/>
        <v/>
      </c>
      <c r="CW103" s="535" t="str">
        <f t="shared" si="77"/>
        <v/>
      </c>
      <c r="CX103" s="536">
        <f t="shared" si="78"/>
        <v>0</v>
      </c>
    </row>
    <row r="104" spans="2:102" s="410" customFormat="1" x14ac:dyDescent="0.2">
      <c r="B104" s="169">
        <v>78</v>
      </c>
      <c r="C104" s="517"/>
      <c r="D104" s="518"/>
      <c r="E104" s="519"/>
      <c r="F104" s="518"/>
      <c r="G104" s="518"/>
      <c r="H104" s="518"/>
      <c r="I104" s="518"/>
      <c r="J104" s="519"/>
      <c r="K104" s="520"/>
      <c r="L104" s="520"/>
      <c r="M104" s="520"/>
      <c r="N104" s="521" t="str">
        <f t="shared" si="61"/>
        <v/>
      </c>
      <c r="O104" s="522"/>
      <c r="P104" s="522"/>
      <c r="Q104" s="520"/>
      <c r="R104" s="522"/>
      <c r="S104" s="522"/>
      <c r="T104" s="523"/>
      <c r="U104" s="522"/>
      <c r="V104" s="519"/>
      <c r="W104" s="522"/>
      <c r="X104" s="523"/>
      <c r="Y104" s="522"/>
      <c r="Z104" s="522"/>
      <c r="AA104" s="522"/>
      <c r="AB104" s="522"/>
      <c r="AC104" s="524"/>
      <c r="AD104" s="525"/>
      <c r="AE104" s="525"/>
      <c r="AF104" s="522"/>
      <c r="AG104" s="522"/>
      <c r="AH104" s="522"/>
      <c r="AI104" s="522"/>
      <c r="AJ104" s="522"/>
      <c r="AK104" s="522"/>
      <c r="AL104" s="522"/>
      <c r="AM104" s="526"/>
      <c r="AN104" s="506"/>
      <c r="AO104" s="527" t="str">
        <f t="shared" si="40"/>
        <v/>
      </c>
      <c r="AP104" s="528" t="str">
        <f t="shared" si="62"/>
        <v/>
      </c>
      <c r="AQ104" s="506"/>
      <c r="AR104" s="527" t="str">
        <f t="shared" si="41"/>
        <v/>
      </c>
      <c r="AS104" s="528" t="str">
        <f t="shared" si="63"/>
        <v/>
      </c>
      <c r="AT104" s="506"/>
      <c r="AU104" s="506"/>
      <c r="AV104" s="494"/>
      <c r="AW104" s="169">
        <v>78</v>
      </c>
      <c r="AX104" s="529"/>
      <c r="AY104" s="522"/>
      <c r="AZ104" s="524"/>
      <c r="BA104" s="524"/>
      <c r="BB104" s="524"/>
      <c r="BC104" s="524"/>
      <c r="BD104" s="524"/>
      <c r="BE104" s="524"/>
      <c r="BF104" s="524"/>
      <c r="BG104" s="530"/>
      <c r="BH104" s="424"/>
      <c r="BI104" s="424"/>
      <c r="BJ104" s="531" t="str">
        <f t="shared" si="42"/>
        <v/>
      </c>
      <c r="BK104" s="532" t="str">
        <f t="shared" si="43"/>
        <v/>
      </c>
      <c r="BL104" s="532" t="str">
        <f t="shared" si="64"/>
        <v/>
      </c>
      <c r="BM104" s="532" t="str">
        <f t="shared" si="65"/>
        <v/>
      </c>
      <c r="BN104" s="532" t="str">
        <f t="shared" si="66"/>
        <v/>
      </c>
      <c r="BO104" s="532" t="str">
        <f t="shared" si="44"/>
        <v/>
      </c>
      <c r="BP104" s="532" t="str">
        <f t="shared" si="45"/>
        <v/>
      </c>
      <c r="BQ104" s="532" t="str">
        <f t="shared" si="46"/>
        <v/>
      </c>
      <c r="BR104" s="532" t="str">
        <f t="shared" si="47"/>
        <v/>
      </c>
      <c r="BS104" s="532" t="str">
        <f t="shared" si="48"/>
        <v/>
      </c>
      <c r="BT104" s="532" t="str">
        <f t="shared" si="67"/>
        <v/>
      </c>
      <c r="BU104" s="532" t="str">
        <f t="shared" si="68"/>
        <v/>
      </c>
      <c r="BV104" s="532" t="str">
        <f t="shared" si="49"/>
        <v/>
      </c>
      <c r="BW104" s="532" t="str">
        <f t="shared" si="50"/>
        <v/>
      </c>
      <c r="BX104" s="532" t="str">
        <f t="shared" si="51"/>
        <v/>
      </c>
      <c r="BY104" s="532" t="str">
        <f t="shared" si="51"/>
        <v/>
      </c>
      <c r="BZ104" s="532" t="str">
        <f t="shared" si="51"/>
        <v/>
      </c>
      <c r="CA104" s="532" t="str">
        <f t="shared" si="69"/>
        <v/>
      </c>
      <c r="CB104" s="532" t="str">
        <f t="shared" si="52"/>
        <v/>
      </c>
      <c r="CC104" s="532" t="str">
        <f t="shared" si="70"/>
        <v/>
      </c>
      <c r="CD104" s="532" t="str">
        <f t="shared" si="71"/>
        <v/>
      </c>
      <c r="CE104" s="532" t="str">
        <f t="shared" si="53"/>
        <v/>
      </c>
      <c r="CF104" s="533" t="str">
        <f t="shared" si="54"/>
        <v/>
      </c>
      <c r="CG104" s="534" t="str">
        <f t="shared" si="72"/>
        <v/>
      </c>
      <c r="CH104" s="424"/>
      <c r="CI104" s="531" t="str">
        <f t="shared" si="73"/>
        <v/>
      </c>
      <c r="CJ104" s="534" t="str">
        <f t="shared" si="74"/>
        <v/>
      </c>
      <c r="CK104" s="424"/>
      <c r="CL104" s="531" t="str">
        <f t="shared" si="75"/>
        <v/>
      </c>
      <c r="CM104" s="534" t="str">
        <f t="shared" si="76"/>
        <v/>
      </c>
      <c r="CN104" s="424"/>
      <c r="CO104" s="531" t="str">
        <f t="shared" si="55"/>
        <v/>
      </c>
      <c r="CP104" s="532" t="str">
        <f t="shared" si="56"/>
        <v/>
      </c>
      <c r="CQ104" s="534" t="str">
        <f t="shared" si="57"/>
        <v/>
      </c>
      <c r="CR104" s="424"/>
      <c r="CS104" s="531" t="str">
        <f t="shared" si="58"/>
        <v/>
      </c>
      <c r="CT104" s="532" t="str">
        <f t="shared" si="59"/>
        <v/>
      </c>
      <c r="CU104" s="534" t="str">
        <f t="shared" si="60"/>
        <v/>
      </c>
      <c r="CW104" s="535" t="str">
        <f t="shared" si="77"/>
        <v/>
      </c>
      <c r="CX104" s="536">
        <f t="shared" si="78"/>
        <v>0</v>
      </c>
    </row>
    <row r="105" spans="2:102" s="410" customFormat="1" x14ac:dyDescent="0.2">
      <c r="B105" s="169">
        <v>79</v>
      </c>
      <c r="C105" s="517"/>
      <c r="D105" s="518"/>
      <c r="E105" s="519"/>
      <c r="F105" s="518"/>
      <c r="G105" s="518"/>
      <c r="H105" s="518"/>
      <c r="I105" s="518"/>
      <c r="J105" s="519"/>
      <c r="K105" s="520"/>
      <c r="L105" s="520"/>
      <c r="M105" s="520"/>
      <c r="N105" s="521" t="str">
        <f t="shared" si="61"/>
        <v/>
      </c>
      <c r="O105" s="522"/>
      <c r="P105" s="522"/>
      <c r="Q105" s="520"/>
      <c r="R105" s="522"/>
      <c r="S105" s="522"/>
      <c r="T105" s="523"/>
      <c r="U105" s="522"/>
      <c r="V105" s="519"/>
      <c r="W105" s="522"/>
      <c r="X105" s="523"/>
      <c r="Y105" s="522"/>
      <c r="Z105" s="522"/>
      <c r="AA105" s="522"/>
      <c r="AB105" s="522"/>
      <c r="AC105" s="524"/>
      <c r="AD105" s="525"/>
      <c r="AE105" s="525"/>
      <c r="AF105" s="522"/>
      <c r="AG105" s="522"/>
      <c r="AH105" s="522"/>
      <c r="AI105" s="522"/>
      <c r="AJ105" s="522"/>
      <c r="AK105" s="522"/>
      <c r="AL105" s="522"/>
      <c r="AM105" s="526"/>
      <c r="AN105" s="506"/>
      <c r="AO105" s="527" t="str">
        <f t="shared" si="40"/>
        <v/>
      </c>
      <c r="AP105" s="528" t="str">
        <f t="shared" si="62"/>
        <v/>
      </c>
      <c r="AQ105" s="506"/>
      <c r="AR105" s="527" t="str">
        <f t="shared" si="41"/>
        <v/>
      </c>
      <c r="AS105" s="528" t="str">
        <f t="shared" si="63"/>
        <v/>
      </c>
      <c r="AT105" s="506"/>
      <c r="AU105" s="506"/>
      <c r="AV105" s="494"/>
      <c r="AW105" s="169">
        <v>79</v>
      </c>
      <c r="AX105" s="529"/>
      <c r="AY105" s="522"/>
      <c r="AZ105" s="524"/>
      <c r="BA105" s="524"/>
      <c r="BB105" s="524"/>
      <c r="BC105" s="524"/>
      <c r="BD105" s="524"/>
      <c r="BE105" s="524"/>
      <c r="BF105" s="524"/>
      <c r="BG105" s="530"/>
      <c r="BH105" s="424"/>
      <c r="BI105" s="424"/>
      <c r="BJ105" s="531" t="str">
        <f t="shared" si="42"/>
        <v/>
      </c>
      <c r="BK105" s="532" t="str">
        <f t="shared" si="43"/>
        <v/>
      </c>
      <c r="BL105" s="532" t="str">
        <f t="shared" si="64"/>
        <v/>
      </c>
      <c r="BM105" s="532" t="str">
        <f t="shared" si="65"/>
        <v/>
      </c>
      <c r="BN105" s="532" t="str">
        <f t="shared" si="66"/>
        <v/>
      </c>
      <c r="BO105" s="532" t="str">
        <f t="shared" si="44"/>
        <v/>
      </c>
      <c r="BP105" s="532" t="str">
        <f t="shared" si="45"/>
        <v/>
      </c>
      <c r="BQ105" s="532" t="str">
        <f t="shared" si="46"/>
        <v/>
      </c>
      <c r="BR105" s="532" t="str">
        <f t="shared" si="47"/>
        <v/>
      </c>
      <c r="BS105" s="532" t="str">
        <f t="shared" si="48"/>
        <v/>
      </c>
      <c r="BT105" s="532" t="str">
        <f t="shared" si="67"/>
        <v/>
      </c>
      <c r="BU105" s="532" t="str">
        <f t="shared" si="68"/>
        <v/>
      </c>
      <c r="BV105" s="532" t="str">
        <f t="shared" si="49"/>
        <v/>
      </c>
      <c r="BW105" s="532" t="str">
        <f t="shared" si="50"/>
        <v/>
      </c>
      <c r="BX105" s="532" t="str">
        <f t="shared" si="51"/>
        <v/>
      </c>
      <c r="BY105" s="532" t="str">
        <f t="shared" si="51"/>
        <v/>
      </c>
      <c r="BZ105" s="532" t="str">
        <f t="shared" si="51"/>
        <v/>
      </c>
      <c r="CA105" s="532" t="str">
        <f t="shared" si="69"/>
        <v/>
      </c>
      <c r="CB105" s="532" t="str">
        <f t="shared" si="52"/>
        <v/>
      </c>
      <c r="CC105" s="532" t="str">
        <f t="shared" si="70"/>
        <v/>
      </c>
      <c r="CD105" s="532" t="str">
        <f t="shared" si="71"/>
        <v/>
      </c>
      <c r="CE105" s="532" t="str">
        <f t="shared" si="53"/>
        <v/>
      </c>
      <c r="CF105" s="533" t="str">
        <f t="shared" si="54"/>
        <v/>
      </c>
      <c r="CG105" s="534" t="str">
        <f t="shared" si="72"/>
        <v/>
      </c>
      <c r="CH105" s="424"/>
      <c r="CI105" s="531" t="str">
        <f t="shared" si="73"/>
        <v/>
      </c>
      <c r="CJ105" s="534" t="str">
        <f t="shared" si="74"/>
        <v/>
      </c>
      <c r="CK105" s="424"/>
      <c r="CL105" s="531" t="str">
        <f t="shared" si="75"/>
        <v/>
      </c>
      <c r="CM105" s="534" t="str">
        <f t="shared" si="76"/>
        <v/>
      </c>
      <c r="CN105" s="424"/>
      <c r="CO105" s="531" t="str">
        <f t="shared" si="55"/>
        <v/>
      </c>
      <c r="CP105" s="532" t="str">
        <f t="shared" si="56"/>
        <v/>
      </c>
      <c r="CQ105" s="534" t="str">
        <f t="shared" si="57"/>
        <v/>
      </c>
      <c r="CR105" s="424"/>
      <c r="CS105" s="531" t="str">
        <f t="shared" si="58"/>
        <v/>
      </c>
      <c r="CT105" s="532" t="str">
        <f t="shared" si="59"/>
        <v/>
      </c>
      <c r="CU105" s="534" t="str">
        <f t="shared" si="60"/>
        <v/>
      </c>
      <c r="CW105" s="535" t="str">
        <f t="shared" si="77"/>
        <v/>
      </c>
      <c r="CX105" s="536">
        <f t="shared" si="78"/>
        <v>0</v>
      </c>
    </row>
    <row r="106" spans="2:102" s="410" customFormat="1" x14ac:dyDescent="0.2">
      <c r="B106" s="169">
        <v>80</v>
      </c>
      <c r="C106" s="517"/>
      <c r="D106" s="518"/>
      <c r="E106" s="519"/>
      <c r="F106" s="518"/>
      <c r="G106" s="518"/>
      <c r="H106" s="518"/>
      <c r="I106" s="518"/>
      <c r="J106" s="519"/>
      <c r="K106" s="520"/>
      <c r="L106" s="520"/>
      <c r="M106" s="520"/>
      <c r="N106" s="521" t="str">
        <f t="shared" si="61"/>
        <v/>
      </c>
      <c r="O106" s="522"/>
      <c r="P106" s="522"/>
      <c r="Q106" s="520"/>
      <c r="R106" s="522"/>
      <c r="S106" s="522"/>
      <c r="T106" s="523"/>
      <c r="U106" s="522"/>
      <c r="V106" s="519"/>
      <c r="W106" s="522"/>
      <c r="X106" s="523"/>
      <c r="Y106" s="522"/>
      <c r="Z106" s="522"/>
      <c r="AA106" s="522"/>
      <c r="AB106" s="522"/>
      <c r="AC106" s="524"/>
      <c r="AD106" s="525"/>
      <c r="AE106" s="525"/>
      <c r="AF106" s="522"/>
      <c r="AG106" s="522"/>
      <c r="AH106" s="522"/>
      <c r="AI106" s="522"/>
      <c r="AJ106" s="522"/>
      <c r="AK106" s="522"/>
      <c r="AL106" s="522"/>
      <c r="AM106" s="526"/>
      <c r="AN106" s="506"/>
      <c r="AO106" s="527" t="str">
        <f t="shared" si="40"/>
        <v/>
      </c>
      <c r="AP106" s="528" t="str">
        <f t="shared" si="62"/>
        <v/>
      </c>
      <c r="AQ106" s="506"/>
      <c r="AR106" s="527" t="str">
        <f t="shared" si="41"/>
        <v/>
      </c>
      <c r="AS106" s="528" t="str">
        <f t="shared" si="63"/>
        <v/>
      </c>
      <c r="AT106" s="506"/>
      <c r="AU106" s="506"/>
      <c r="AV106" s="494"/>
      <c r="AW106" s="169">
        <v>80</v>
      </c>
      <c r="AX106" s="529"/>
      <c r="AY106" s="522"/>
      <c r="AZ106" s="524"/>
      <c r="BA106" s="524"/>
      <c r="BB106" s="524"/>
      <c r="BC106" s="524"/>
      <c r="BD106" s="524"/>
      <c r="BE106" s="524"/>
      <c r="BF106" s="524"/>
      <c r="BG106" s="530"/>
      <c r="BH106" s="424"/>
      <c r="BI106" s="424"/>
      <c r="BJ106" s="531" t="str">
        <f t="shared" si="42"/>
        <v/>
      </c>
      <c r="BK106" s="532" t="str">
        <f t="shared" si="43"/>
        <v/>
      </c>
      <c r="BL106" s="532" t="str">
        <f t="shared" si="64"/>
        <v/>
      </c>
      <c r="BM106" s="532" t="str">
        <f t="shared" si="65"/>
        <v/>
      </c>
      <c r="BN106" s="532" t="str">
        <f t="shared" si="66"/>
        <v/>
      </c>
      <c r="BO106" s="532" t="str">
        <f t="shared" si="44"/>
        <v/>
      </c>
      <c r="BP106" s="532" t="str">
        <f t="shared" si="45"/>
        <v/>
      </c>
      <c r="BQ106" s="532" t="str">
        <f t="shared" si="46"/>
        <v/>
      </c>
      <c r="BR106" s="532" t="str">
        <f t="shared" si="47"/>
        <v/>
      </c>
      <c r="BS106" s="532" t="str">
        <f t="shared" si="48"/>
        <v/>
      </c>
      <c r="BT106" s="532" t="str">
        <f t="shared" si="67"/>
        <v/>
      </c>
      <c r="BU106" s="532" t="str">
        <f t="shared" si="68"/>
        <v/>
      </c>
      <c r="BV106" s="532" t="str">
        <f t="shared" si="49"/>
        <v/>
      </c>
      <c r="BW106" s="532" t="str">
        <f t="shared" si="50"/>
        <v/>
      </c>
      <c r="BX106" s="532" t="str">
        <f t="shared" si="51"/>
        <v/>
      </c>
      <c r="BY106" s="532" t="str">
        <f t="shared" si="51"/>
        <v/>
      </c>
      <c r="BZ106" s="532" t="str">
        <f t="shared" si="51"/>
        <v/>
      </c>
      <c r="CA106" s="532" t="str">
        <f t="shared" si="69"/>
        <v/>
      </c>
      <c r="CB106" s="532" t="str">
        <f t="shared" si="52"/>
        <v/>
      </c>
      <c r="CC106" s="532" t="str">
        <f t="shared" si="70"/>
        <v/>
      </c>
      <c r="CD106" s="532" t="str">
        <f t="shared" si="71"/>
        <v/>
      </c>
      <c r="CE106" s="532" t="str">
        <f t="shared" si="53"/>
        <v/>
      </c>
      <c r="CF106" s="533" t="str">
        <f t="shared" si="54"/>
        <v/>
      </c>
      <c r="CG106" s="534" t="str">
        <f t="shared" si="72"/>
        <v/>
      </c>
      <c r="CH106" s="424"/>
      <c r="CI106" s="531" t="str">
        <f t="shared" si="73"/>
        <v/>
      </c>
      <c r="CJ106" s="534" t="str">
        <f t="shared" si="74"/>
        <v/>
      </c>
      <c r="CK106" s="424"/>
      <c r="CL106" s="531" t="str">
        <f t="shared" si="75"/>
        <v/>
      </c>
      <c r="CM106" s="534" t="str">
        <f t="shared" si="76"/>
        <v/>
      </c>
      <c r="CN106" s="424"/>
      <c r="CO106" s="531" t="str">
        <f t="shared" si="55"/>
        <v/>
      </c>
      <c r="CP106" s="532" t="str">
        <f t="shared" si="56"/>
        <v/>
      </c>
      <c r="CQ106" s="534" t="str">
        <f t="shared" si="57"/>
        <v/>
      </c>
      <c r="CR106" s="424"/>
      <c r="CS106" s="531" t="str">
        <f t="shared" si="58"/>
        <v/>
      </c>
      <c r="CT106" s="532" t="str">
        <f t="shared" si="59"/>
        <v/>
      </c>
      <c r="CU106" s="534" t="str">
        <f t="shared" si="60"/>
        <v/>
      </c>
      <c r="CW106" s="535" t="str">
        <f t="shared" si="77"/>
        <v/>
      </c>
      <c r="CX106" s="536">
        <f t="shared" si="78"/>
        <v>0</v>
      </c>
    </row>
    <row r="107" spans="2:102" s="410" customFormat="1" x14ac:dyDescent="0.2">
      <c r="B107" s="169">
        <v>81</v>
      </c>
      <c r="C107" s="517"/>
      <c r="D107" s="518"/>
      <c r="E107" s="519"/>
      <c r="F107" s="518"/>
      <c r="G107" s="518"/>
      <c r="H107" s="518"/>
      <c r="I107" s="518"/>
      <c r="J107" s="519"/>
      <c r="K107" s="520"/>
      <c r="L107" s="520"/>
      <c r="M107" s="520"/>
      <c r="N107" s="521" t="str">
        <f t="shared" si="61"/>
        <v/>
      </c>
      <c r="O107" s="522"/>
      <c r="P107" s="522"/>
      <c r="Q107" s="520"/>
      <c r="R107" s="522"/>
      <c r="S107" s="522"/>
      <c r="T107" s="523"/>
      <c r="U107" s="522"/>
      <c r="V107" s="519"/>
      <c r="W107" s="522"/>
      <c r="X107" s="523"/>
      <c r="Y107" s="522"/>
      <c r="Z107" s="522"/>
      <c r="AA107" s="522"/>
      <c r="AB107" s="522"/>
      <c r="AC107" s="524"/>
      <c r="AD107" s="525"/>
      <c r="AE107" s="525"/>
      <c r="AF107" s="522"/>
      <c r="AG107" s="522"/>
      <c r="AH107" s="522"/>
      <c r="AI107" s="522"/>
      <c r="AJ107" s="522"/>
      <c r="AK107" s="522"/>
      <c r="AL107" s="522"/>
      <c r="AM107" s="526"/>
      <c r="AN107" s="506"/>
      <c r="AO107" s="527" t="str">
        <f t="shared" si="40"/>
        <v/>
      </c>
      <c r="AP107" s="528" t="str">
        <f t="shared" si="62"/>
        <v/>
      </c>
      <c r="AQ107" s="506"/>
      <c r="AR107" s="527" t="str">
        <f t="shared" si="41"/>
        <v/>
      </c>
      <c r="AS107" s="528" t="str">
        <f t="shared" si="63"/>
        <v/>
      </c>
      <c r="AT107" s="506"/>
      <c r="AU107" s="506"/>
      <c r="AV107" s="494"/>
      <c r="AW107" s="169">
        <v>81</v>
      </c>
      <c r="AX107" s="529"/>
      <c r="AY107" s="522"/>
      <c r="AZ107" s="524"/>
      <c r="BA107" s="524"/>
      <c r="BB107" s="524"/>
      <c r="BC107" s="524"/>
      <c r="BD107" s="524"/>
      <c r="BE107" s="524"/>
      <c r="BF107" s="524"/>
      <c r="BG107" s="530"/>
      <c r="BH107" s="424"/>
      <c r="BI107" s="424"/>
      <c r="BJ107" s="531" t="str">
        <f t="shared" si="42"/>
        <v/>
      </c>
      <c r="BK107" s="532" t="str">
        <f t="shared" si="43"/>
        <v/>
      </c>
      <c r="BL107" s="532" t="str">
        <f t="shared" si="64"/>
        <v/>
      </c>
      <c r="BM107" s="532" t="str">
        <f t="shared" si="65"/>
        <v/>
      </c>
      <c r="BN107" s="532" t="str">
        <f t="shared" si="66"/>
        <v/>
      </c>
      <c r="BO107" s="532" t="str">
        <f t="shared" si="44"/>
        <v/>
      </c>
      <c r="BP107" s="532" t="str">
        <f t="shared" si="45"/>
        <v/>
      </c>
      <c r="BQ107" s="532" t="str">
        <f t="shared" si="46"/>
        <v/>
      </c>
      <c r="BR107" s="532" t="str">
        <f t="shared" si="47"/>
        <v/>
      </c>
      <c r="BS107" s="532" t="str">
        <f t="shared" si="48"/>
        <v/>
      </c>
      <c r="BT107" s="532" t="str">
        <f t="shared" si="67"/>
        <v/>
      </c>
      <c r="BU107" s="532" t="str">
        <f t="shared" si="68"/>
        <v/>
      </c>
      <c r="BV107" s="532" t="str">
        <f t="shared" si="49"/>
        <v/>
      </c>
      <c r="BW107" s="532" t="str">
        <f t="shared" si="50"/>
        <v/>
      </c>
      <c r="BX107" s="532" t="str">
        <f t="shared" si="51"/>
        <v/>
      </c>
      <c r="BY107" s="532" t="str">
        <f t="shared" si="51"/>
        <v/>
      </c>
      <c r="BZ107" s="532" t="str">
        <f t="shared" si="51"/>
        <v/>
      </c>
      <c r="CA107" s="532" t="str">
        <f t="shared" si="69"/>
        <v/>
      </c>
      <c r="CB107" s="532" t="str">
        <f t="shared" si="52"/>
        <v/>
      </c>
      <c r="CC107" s="532" t="str">
        <f t="shared" si="70"/>
        <v/>
      </c>
      <c r="CD107" s="532" t="str">
        <f t="shared" si="71"/>
        <v/>
      </c>
      <c r="CE107" s="532" t="str">
        <f t="shared" si="53"/>
        <v/>
      </c>
      <c r="CF107" s="533" t="str">
        <f t="shared" si="54"/>
        <v/>
      </c>
      <c r="CG107" s="534" t="str">
        <f t="shared" si="72"/>
        <v/>
      </c>
      <c r="CH107" s="424"/>
      <c r="CI107" s="531" t="str">
        <f t="shared" si="73"/>
        <v/>
      </c>
      <c r="CJ107" s="534" t="str">
        <f t="shared" si="74"/>
        <v/>
      </c>
      <c r="CK107" s="424"/>
      <c r="CL107" s="531" t="str">
        <f t="shared" si="75"/>
        <v/>
      </c>
      <c r="CM107" s="534" t="str">
        <f t="shared" si="76"/>
        <v/>
      </c>
      <c r="CN107" s="424"/>
      <c r="CO107" s="531" t="str">
        <f t="shared" si="55"/>
        <v/>
      </c>
      <c r="CP107" s="532" t="str">
        <f t="shared" si="56"/>
        <v/>
      </c>
      <c r="CQ107" s="534" t="str">
        <f t="shared" si="57"/>
        <v/>
      </c>
      <c r="CR107" s="424"/>
      <c r="CS107" s="531" t="str">
        <f t="shared" si="58"/>
        <v/>
      </c>
      <c r="CT107" s="532" t="str">
        <f t="shared" si="59"/>
        <v/>
      </c>
      <c r="CU107" s="534" t="str">
        <f t="shared" si="60"/>
        <v/>
      </c>
      <c r="CW107" s="535" t="str">
        <f t="shared" si="77"/>
        <v/>
      </c>
      <c r="CX107" s="536">
        <f t="shared" si="78"/>
        <v>0</v>
      </c>
    </row>
    <row r="108" spans="2:102" s="410" customFormat="1" x14ac:dyDescent="0.2">
      <c r="B108" s="169">
        <v>82</v>
      </c>
      <c r="C108" s="517"/>
      <c r="D108" s="518"/>
      <c r="E108" s="519"/>
      <c r="F108" s="518"/>
      <c r="G108" s="518"/>
      <c r="H108" s="518"/>
      <c r="I108" s="518"/>
      <c r="J108" s="519"/>
      <c r="K108" s="520"/>
      <c r="L108" s="520"/>
      <c r="M108" s="520"/>
      <c r="N108" s="521" t="str">
        <f t="shared" si="61"/>
        <v/>
      </c>
      <c r="O108" s="522"/>
      <c r="P108" s="522"/>
      <c r="Q108" s="520"/>
      <c r="R108" s="522"/>
      <c r="S108" s="522"/>
      <c r="T108" s="523"/>
      <c r="U108" s="522"/>
      <c r="V108" s="519"/>
      <c r="W108" s="522"/>
      <c r="X108" s="523"/>
      <c r="Y108" s="522"/>
      <c r="Z108" s="522"/>
      <c r="AA108" s="522"/>
      <c r="AB108" s="522"/>
      <c r="AC108" s="524"/>
      <c r="AD108" s="525"/>
      <c r="AE108" s="525"/>
      <c r="AF108" s="522"/>
      <c r="AG108" s="522"/>
      <c r="AH108" s="522"/>
      <c r="AI108" s="522"/>
      <c r="AJ108" s="522"/>
      <c r="AK108" s="522"/>
      <c r="AL108" s="522"/>
      <c r="AM108" s="526"/>
      <c r="AN108" s="506"/>
      <c r="AO108" s="527" t="str">
        <f t="shared" si="40"/>
        <v/>
      </c>
      <c r="AP108" s="528" t="str">
        <f t="shared" si="62"/>
        <v/>
      </c>
      <c r="AQ108" s="506"/>
      <c r="AR108" s="527" t="str">
        <f t="shared" si="41"/>
        <v/>
      </c>
      <c r="AS108" s="528" t="str">
        <f t="shared" si="63"/>
        <v/>
      </c>
      <c r="AT108" s="506"/>
      <c r="AU108" s="506"/>
      <c r="AV108" s="494"/>
      <c r="AW108" s="169">
        <v>82</v>
      </c>
      <c r="AX108" s="529"/>
      <c r="AY108" s="522"/>
      <c r="AZ108" s="524"/>
      <c r="BA108" s="524"/>
      <c r="BB108" s="524"/>
      <c r="BC108" s="524"/>
      <c r="BD108" s="524"/>
      <c r="BE108" s="524"/>
      <c r="BF108" s="524"/>
      <c r="BG108" s="530"/>
      <c r="BH108" s="424"/>
      <c r="BI108" s="424"/>
      <c r="BJ108" s="531" t="str">
        <f t="shared" si="42"/>
        <v/>
      </c>
      <c r="BK108" s="532" t="str">
        <f t="shared" si="43"/>
        <v/>
      </c>
      <c r="BL108" s="532" t="str">
        <f t="shared" si="64"/>
        <v/>
      </c>
      <c r="BM108" s="532" t="str">
        <f t="shared" si="65"/>
        <v/>
      </c>
      <c r="BN108" s="532" t="str">
        <f t="shared" si="66"/>
        <v/>
      </c>
      <c r="BO108" s="532" t="str">
        <f t="shared" si="44"/>
        <v/>
      </c>
      <c r="BP108" s="532" t="str">
        <f t="shared" si="45"/>
        <v/>
      </c>
      <c r="BQ108" s="532" t="str">
        <f t="shared" si="46"/>
        <v/>
      </c>
      <c r="BR108" s="532" t="str">
        <f t="shared" si="47"/>
        <v/>
      </c>
      <c r="BS108" s="532" t="str">
        <f t="shared" si="48"/>
        <v/>
      </c>
      <c r="BT108" s="532" t="str">
        <f t="shared" si="67"/>
        <v/>
      </c>
      <c r="BU108" s="532" t="str">
        <f t="shared" si="68"/>
        <v/>
      </c>
      <c r="BV108" s="532" t="str">
        <f t="shared" si="49"/>
        <v/>
      </c>
      <c r="BW108" s="532" t="str">
        <f t="shared" si="50"/>
        <v/>
      </c>
      <c r="BX108" s="532" t="str">
        <f t="shared" si="51"/>
        <v/>
      </c>
      <c r="BY108" s="532" t="str">
        <f t="shared" si="51"/>
        <v/>
      </c>
      <c r="BZ108" s="532" t="str">
        <f t="shared" si="51"/>
        <v/>
      </c>
      <c r="CA108" s="532" t="str">
        <f t="shared" si="69"/>
        <v/>
      </c>
      <c r="CB108" s="532" t="str">
        <f t="shared" si="52"/>
        <v/>
      </c>
      <c r="CC108" s="532" t="str">
        <f t="shared" si="70"/>
        <v/>
      </c>
      <c r="CD108" s="532" t="str">
        <f t="shared" si="71"/>
        <v/>
      </c>
      <c r="CE108" s="532" t="str">
        <f t="shared" si="53"/>
        <v/>
      </c>
      <c r="CF108" s="533" t="str">
        <f t="shared" si="54"/>
        <v/>
      </c>
      <c r="CG108" s="534" t="str">
        <f t="shared" si="72"/>
        <v/>
      </c>
      <c r="CH108" s="424"/>
      <c r="CI108" s="531" t="str">
        <f t="shared" si="73"/>
        <v/>
      </c>
      <c r="CJ108" s="534" t="str">
        <f t="shared" si="74"/>
        <v/>
      </c>
      <c r="CK108" s="424"/>
      <c r="CL108" s="531" t="str">
        <f t="shared" si="75"/>
        <v/>
      </c>
      <c r="CM108" s="534" t="str">
        <f t="shared" si="76"/>
        <v/>
      </c>
      <c r="CN108" s="424"/>
      <c r="CO108" s="531" t="str">
        <f t="shared" si="55"/>
        <v/>
      </c>
      <c r="CP108" s="532" t="str">
        <f t="shared" si="56"/>
        <v/>
      </c>
      <c r="CQ108" s="534" t="str">
        <f t="shared" si="57"/>
        <v/>
      </c>
      <c r="CR108" s="424"/>
      <c r="CS108" s="531" t="str">
        <f t="shared" si="58"/>
        <v/>
      </c>
      <c r="CT108" s="532" t="str">
        <f t="shared" si="59"/>
        <v/>
      </c>
      <c r="CU108" s="534" t="str">
        <f t="shared" si="60"/>
        <v/>
      </c>
      <c r="CW108" s="535" t="str">
        <f t="shared" si="77"/>
        <v/>
      </c>
      <c r="CX108" s="536">
        <f t="shared" si="78"/>
        <v>0</v>
      </c>
    </row>
    <row r="109" spans="2:102" s="410" customFormat="1" x14ac:dyDescent="0.2">
      <c r="B109" s="169">
        <v>83</v>
      </c>
      <c r="C109" s="517"/>
      <c r="D109" s="518"/>
      <c r="E109" s="519"/>
      <c r="F109" s="518"/>
      <c r="G109" s="518"/>
      <c r="H109" s="518"/>
      <c r="I109" s="518"/>
      <c r="J109" s="519"/>
      <c r="K109" s="520"/>
      <c r="L109" s="520"/>
      <c r="M109" s="520"/>
      <c r="N109" s="521" t="str">
        <f t="shared" si="61"/>
        <v/>
      </c>
      <c r="O109" s="522"/>
      <c r="P109" s="522"/>
      <c r="Q109" s="520"/>
      <c r="R109" s="522"/>
      <c r="S109" s="522"/>
      <c r="T109" s="523"/>
      <c r="U109" s="522"/>
      <c r="V109" s="519"/>
      <c r="W109" s="522"/>
      <c r="X109" s="523"/>
      <c r="Y109" s="522"/>
      <c r="Z109" s="522"/>
      <c r="AA109" s="522"/>
      <c r="AB109" s="522"/>
      <c r="AC109" s="524"/>
      <c r="AD109" s="525"/>
      <c r="AE109" s="525"/>
      <c r="AF109" s="522"/>
      <c r="AG109" s="522"/>
      <c r="AH109" s="522"/>
      <c r="AI109" s="522"/>
      <c r="AJ109" s="522"/>
      <c r="AK109" s="522"/>
      <c r="AL109" s="522"/>
      <c r="AM109" s="526"/>
      <c r="AN109" s="506"/>
      <c r="AO109" s="527" t="str">
        <f t="shared" si="40"/>
        <v/>
      </c>
      <c r="AP109" s="528" t="str">
        <f t="shared" si="62"/>
        <v/>
      </c>
      <c r="AQ109" s="506"/>
      <c r="AR109" s="527" t="str">
        <f t="shared" si="41"/>
        <v/>
      </c>
      <c r="AS109" s="528" t="str">
        <f t="shared" si="63"/>
        <v/>
      </c>
      <c r="AT109" s="506"/>
      <c r="AU109" s="506"/>
      <c r="AV109" s="494"/>
      <c r="AW109" s="169">
        <v>83</v>
      </c>
      <c r="AX109" s="529"/>
      <c r="AY109" s="522"/>
      <c r="AZ109" s="524"/>
      <c r="BA109" s="524"/>
      <c r="BB109" s="524"/>
      <c r="BC109" s="524"/>
      <c r="BD109" s="524"/>
      <c r="BE109" s="524"/>
      <c r="BF109" s="524"/>
      <c r="BG109" s="530"/>
      <c r="BH109" s="424"/>
      <c r="BI109" s="424"/>
      <c r="BJ109" s="531" t="str">
        <f t="shared" si="42"/>
        <v/>
      </c>
      <c r="BK109" s="532" t="str">
        <f t="shared" si="43"/>
        <v/>
      </c>
      <c r="BL109" s="532" t="str">
        <f t="shared" si="64"/>
        <v/>
      </c>
      <c r="BM109" s="532" t="str">
        <f t="shared" si="65"/>
        <v/>
      </c>
      <c r="BN109" s="532" t="str">
        <f t="shared" si="66"/>
        <v/>
      </c>
      <c r="BO109" s="532" t="str">
        <f t="shared" si="44"/>
        <v/>
      </c>
      <c r="BP109" s="532" t="str">
        <f t="shared" si="45"/>
        <v/>
      </c>
      <c r="BQ109" s="532" t="str">
        <f t="shared" si="46"/>
        <v/>
      </c>
      <c r="BR109" s="532" t="str">
        <f t="shared" si="47"/>
        <v/>
      </c>
      <c r="BS109" s="532" t="str">
        <f t="shared" si="48"/>
        <v/>
      </c>
      <c r="BT109" s="532" t="str">
        <f t="shared" si="67"/>
        <v/>
      </c>
      <c r="BU109" s="532" t="str">
        <f t="shared" si="68"/>
        <v/>
      </c>
      <c r="BV109" s="532" t="str">
        <f t="shared" si="49"/>
        <v/>
      </c>
      <c r="BW109" s="532" t="str">
        <f t="shared" si="50"/>
        <v/>
      </c>
      <c r="BX109" s="532" t="str">
        <f t="shared" si="51"/>
        <v/>
      </c>
      <c r="BY109" s="532" t="str">
        <f t="shared" si="51"/>
        <v/>
      </c>
      <c r="BZ109" s="532" t="str">
        <f t="shared" si="51"/>
        <v/>
      </c>
      <c r="CA109" s="532" t="str">
        <f t="shared" si="69"/>
        <v/>
      </c>
      <c r="CB109" s="532" t="str">
        <f t="shared" si="52"/>
        <v/>
      </c>
      <c r="CC109" s="532" t="str">
        <f t="shared" si="70"/>
        <v/>
      </c>
      <c r="CD109" s="532" t="str">
        <f t="shared" si="71"/>
        <v/>
      </c>
      <c r="CE109" s="532" t="str">
        <f t="shared" si="53"/>
        <v/>
      </c>
      <c r="CF109" s="533" t="str">
        <f t="shared" si="54"/>
        <v/>
      </c>
      <c r="CG109" s="534" t="str">
        <f t="shared" si="72"/>
        <v/>
      </c>
      <c r="CH109" s="424"/>
      <c r="CI109" s="531" t="str">
        <f t="shared" si="73"/>
        <v/>
      </c>
      <c r="CJ109" s="534" t="str">
        <f t="shared" si="74"/>
        <v/>
      </c>
      <c r="CK109" s="424"/>
      <c r="CL109" s="531" t="str">
        <f t="shared" si="75"/>
        <v/>
      </c>
      <c r="CM109" s="534" t="str">
        <f t="shared" si="76"/>
        <v/>
      </c>
      <c r="CN109" s="424"/>
      <c r="CO109" s="531" t="str">
        <f t="shared" si="55"/>
        <v/>
      </c>
      <c r="CP109" s="532" t="str">
        <f t="shared" si="56"/>
        <v/>
      </c>
      <c r="CQ109" s="534" t="str">
        <f t="shared" si="57"/>
        <v/>
      </c>
      <c r="CR109" s="424"/>
      <c r="CS109" s="531" t="str">
        <f t="shared" si="58"/>
        <v/>
      </c>
      <c r="CT109" s="532" t="str">
        <f t="shared" si="59"/>
        <v/>
      </c>
      <c r="CU109" s="534" t="str">
        <f t="shared" si="60"/>
        <v/>
      </c>
      <c r="CW109" s="535" t="str">
        <f t="shared" si="77"/>
        <v/>
      </c>
      <c r="CX109" s="536">
        <f t="shared" si="78"/>
        <v>0</v>
      </c>
    </row>
    <row r="110" spans="2:102" s="410" customFormat="1" x14ac:dyDescent="0.2">
      <c r="B110" s="169">
        <v>84</v>
      </c>
      <c r="C110" s="517"/>
      <c r="D110" s="518"/>
      <c r="E110" s="519"/>
      <c r="F110" s="518"/>
      <c r="G110" s="518"/>
      <c r="H110" s="518"/>
      <c r="I110" s="518"/>
      <c r="J110" s="519"/>
      <c r="K110" s="520"/>
      <c r="L110" s="520"/>
      <c r="M110" s="520"/>
      <c r="N110" s="521" t="str">
        <f t="shared" si="61"/>
        <v/>
      </c>
      <c r="O110" s="522"/>
      <c r="P110" s="522"/>
      <c r="Q110" s="520"/>
      <c r="R110" s="522"/>
      <c r="S110" s="522"/>
      <c r="T110" s="523"/>
      <c r="U110" s="522"/>
      <c r="V110" s="519"/>
      <c r="W110" s="522"/>
      <c r="X110" s="523"/>
      <c r="Y110" s="522"/>
      <c r="Z110" s="522"/>
      <c r="AA110" s="522"/>
      <c r="AB110" s="522"/>
      <c r="AC110" s="524"/>
      <c r="AD110" s="525"/>
      <c r="AE110" s="525"/>
      <c r="AF110" s="522"/>
      <c r="AG110" s="522"/>
      <c r="AH110" s="522"/>
      <c r="AI110" s="522"/>
      <c r="AJ110" s="522"/>
      <c r="AK110" s="522"/>
      <c r="AL110" s="522"/>
      <c r="AM110" s="526"/>
      <c r="AN110" s="506"/>
      <c r="AO110" s="527" t="str">
        <f t="shared" si="40"/>
        <v/>
      </c>
      <c r="AP110" s="528" t="str">
        <f t="shared" si="62"/>
        <v/>
      </c>
      <c r="AQ110" s="506"/>
      <c r="AR110" s="527" t="str">
        <f t="shared" si="41"/>
        <v/>
      </c>
      <c r="AS110" s="528" t="str">
        <f t="shared" si="63"/>
        <v/>
      </c>
      <c r="AT110" s="506"/>
      <c r="AU110" s="506"/>
      <c r="AV110" s="494"/>
      <c r="AW110" s="169">
        <v>84</v>
      </c>
      <c r="AX110" s="529"/>
      <c r="AY110" s="522"/>
      <c r="AZ110" s="524"/>
      <c r="BA110" s="524"/>
      <c r="BB110" s="524"/>
      <c r="BC110" s="524"/>
      <c r="BD110" s="524"/>
      <c r="BE110" s="524"/>
      <c r="BF110" s="524"/>
      <c r="BG110" s="530"/>
      <c r="BH110" s="424"/>
      <c r="BI110" s="424"/>
      <c r="BJ110" s="531" t="str">
        <f t="shared" si="42"/>
        <v/>
      </c>
      <c r="BK110" s="532" t="str">
        <f t="shared" si="43"/>
        <v/>
      </c>
      <c r="BL110" s="532" t="str">
        <f t="shared" si="64"/>
        <v/>
      </c>
      <c r="BM110" s="532" t="str">
        <f t="shared" si="65"/>
        <v/>
      </c>
      <c r="BN110" s="532" t="str">
        <f t="shared" si="66"/>
        <v/>
      </c>
      <c r="BO110" s="532" t="str">
        <f t="shared" si="44"/>
        <v/>
      </c>
      <c r="BP110" s="532" t="str">
        <f t="shared" si="45"/>
        <v/>
      </c>
      <c r="BQ110" s="532" t="str">
        <f t="shared" si="46"/>
        <v/>
      </c>
      <c r="BR110" s="532" t="str">
        <f t="shared" si="47"/>
        <v/>
      </c>
      <c r="BS110" s="532" t="str">
        <f t="shared" si="48"/>
        <v/>
      </c>
      <c r="BT110" s="532" t="str">
        <f t="shared" si="67"/>
        <v/>
      </c>
      <c r="BU110" s="532" t="str">
        <f t="shared" si="68"/>
        <v/>
      </c>
      <c r="BV110" s="532" t="str">
        <f t="shared" si="49"/>
        <v/>
      </c>
      <c r="BW110" s="532" t="str">
        <f t="shared" si="50"/>
        <v/>
      </c>
      <c r="BX110" s="532" t="str">
        <f t="shared" si="51"/>
        <v/>
      </c>
      <c r="BY110" s="532" t="str">
        <f t="shared" si="51"/>
        <v/>
      </c>
      <c r="BZ110" s="532" t="str">
        <f t="shared" si="51"/>
        <v/>
      </c>
      <c r="CA110" s="532" t="str">
        <f t="shared" si="69"/>
        <v/>
      </c>
      <c r="CB110" s="532" t="str">
        <f t="shared" si="52"/>
        <v/>
      </c>
      <c r="CC110" s="532" t="str">
        <f t="shared" si="70"/>
        <v/>
      </c>
      <c r="CD110" s="532" t="str">
        <f t="shared" si="71"/>
        <v/>
      </c>
      <c r="CE110" s="532" t="str">
        <f t="shared" si="53"/>
        <v/>
      </c>
      <c r="CF110" s="533" t="str">
        <f t="shared" si="54"/>
        <v/>
      </c>
      <c r="CG110" s="534" t="str">
        <f t="shared" si="72"/>
        <v/>
      </c>
      <c r="CH110" s="424"/>
      <c r="CI110" s="531" t="str">
        <f t="shared" si="73"/>
        <v/>
      </c>
      <c r="CJ110" s="534" t="str">
        <f t="shared" si="74"/>
        <v/>
      </c>
      <c r="CK110" s="424"/>
      <c r="CL110" s="531" t="str">
        <f t="shared" si="75"/>
        <v/>
      </c>
      <c r="CM110" s="534" t="str">
        <f t="shared" si="76"/>
        <v/>
      </c>
      <c r="CN110" s="424"/>
      <c r="CO110" s="531" t="str">
        <f t="shared" si="55"/>
        <v/>
      </c>
      <c r="CP110" s="532" t="str">
        <f t="shared" si="56"/>
        <v/>
      </c>
      <c r="CQ110" s="534" t="str">
        <f t="shared" si="57"/>
        <v/>
      </c>
      <c r="CR110" s="424"/>
      <c r="CS110" s="531" t="str">
        <f t="shared" si="58"/>
        <v/>
      </c>
      <c r="CT110" s="532" t="str">
        <f t="shared" si="59"/>
        <v/>
      </c>
      <c r="CU110" s="534" t="str">
        <f t="shared" si="60"/>
        <v/>
      </c>
      <c r="CW110" s="535" t="str">
        <f t="shared" si="77"/>
        <v/>
      </c>
      <c r="CX110" s="536">
        <f t="shared" si="78"/>
        <v>0</v>
      </c>
    </row>
    <row r="111" spans="2:102" s="410" customFormat="1" x14ac:dyDescent="0.2">
      <c r="B111" s="169">
        <v>85</v>
      </c>
      <c r="C111" s="517"/>
      <c r="D111" s="518"/>
      <c r="E111" s="519"/>
      <c r="F111" s="518"/>
      <c r="G111" s="518"/>
      <c r="H111" s="518"/>
      <c r="I111" s="518"/>
      <c r="J111" s="519"/>
      <c r="K111" s="520"/>
      <c r="L111" s="520"/>
      <c r="M111" s="520"/>
      <c r="N111" s="521" t="str">
        <f t="shared" si="61"/>
        <v/>
      </c>
      <c r="O111" s="522"/>
      <c r="P111" s="522"/>
      <c r="Q111" s="520"/>
      <c r="R111" s="522"/>
      <c r="S111" s="522"/>
      <c r="T111" s="523"/>
      <c r="U111" s="522"/>
      <c r="V111" s="519"/>
      <c r="W111" s="522"/>
      <c r="X111" s="523"/>
      <c r="Y111" s="522"/>
      <c r="Z111" s="522"/>
      <c r="AA111" s="522"/>
      <c r="AB111" s="522"/>
      <c r="AC111" s="524"/>
      <c r="AD111" s="525"/>
      <c r="AE111" s="525"/>
      <c r="AF111" s="522"/>
      <c r="AG111" s="522"/>
      <c r="AH111" s="522"/>
      <c r="AI111" s="522"/>
      <c r="AJ111" s="522"/>
      <c r="AK111" s="522"/>
      <c r="AL111" s="522"/>
      <c r="AM111" s="526"/>
      <c r="AN111" s="506"/>
      <c r="AO111" s="527" t="str">
        <f t="shared" si="40"/>
        <v/>
      </c>
      <c r="AP111" s="528" t="str">
        <f t="shared" si="62"/>
        <v/>
      </c>
      <c r="AQ111" s="506"/>
      <c r="AR111" s="527" t="str">
        <f t="shared" si="41"/>
        <v/>
      </c>
      <c r="AS111" s="528" t="str">
        <f t="shared" si="63"/>
        <v/>
      </c>
      <c r="AT111" s="506"/>
      <c r="AU111" s="506"/>
      <c r="AV111" s="494"/>
      <c r="AW111" s="169">
        <v>85</v>
      </c>
      <c r="AX111" s="529"/>
      <c r="AY111" s="522"/>
      <c r="AZ111" s="524"/>
      <c r="BA111" s="524"/>
      <c r="BB111" s="524"/>
      <c r="BC111" s="524"/>
      <c r="BD111" s="524"/>
      <c r="BE111" s="524"/>
      <c r="BF111" s="524"/>
      <c r="BG111" s="530"/>
      <c r="BH111" s="424"/>
      <c r="BI111" s="424"/>
      <c r="BJ111" s="531" t="str">
        <f t="shared" si="42"/>
        <v/>
      </c>
      <c r="BK111" s="532" t="str">
        <f t="shared" si="43"/>
        <v/>
      </c>
      <c r="BL111" s="532" t="str">
        <f t="shared" si="64"/>
        <v/>
      </c>
      <c r="BM111" s="532" t="str">
        <f t="shared" si="65"/>
        <v/>
      </c>
      <c r="BN111" s="532" t="str">
        <f t="shared" si="66"/>
        <v/>
      </c>
      <c r="BO111" s="532" t="str">
        <f t="shared" si="44"/>
        <v/>
      </c>
      <c r="BP111" s="532" t="str">
        <f t="shared" si="45"/>
        <v/>
      </c>
      <c r="BQ111" s="532" t="str">
        <f t="shared" si="46"/>
        <v/>
      </c>
      <c r="BR111" s="532" t="str">
        <f t="shared" si="47"/>
        <v/>
      </c>
      <c r="BS111" s="532" t="str">
        <f t="shared" si="48"/>
        <v/>
      </c>
      <c r="BT111" s="532" t="str">
        <f t="shared" si="67"/>
        <v/>
      </c>
      <c r="BU111" s="532" t="str">
        <f t="shared" si="68"/>
        <v/>
      </c>
      <c r="BV111" s="532" t="str">
        <f t="shared" si="49"/>
        <v/>
      </c>
      <c r="BW111" s="532" t="str">
        <f t="shared" si="50"/>
        <v/>
      </c>
      <c r="BX111" s="532" t="str">
        <f t="shared" si="51"/>
        <v/>
      </c>
      <c r="BY111" s="532" t="str">
        <f t="shared" si="51"/>
        <v/>
      </c>
      <c r="BZ111" s="532" t="str">
        <f t="shared" si="51"/>
        <v/>
      </c>
      <c r="CA111" s="532" t="str">
        <f t="shared" si="69"/>
        <v/>
      </c>
      <c r="CB111" s="532" t="str">
        <f t="shared" si="52"/>
        <v/>
      </c>
      <c r="CC111" s="532" t="str">
        <f t="shared" si="70"/>
        <v/>
      </c>
      <c r="CD111" s="532" t="str">
        <f t="shared" si="71"/>
        <v/>
      </c>
      <c r="CE111" s="532" t="str">
        <f t="shared" si="53"/>
        <v/>
      </c>
      <c r="CF111" s="533" t="str">
        <f t="shared" si="54"/>
        <v/>
      </c>
      <c r="CG111" s="534" t="str">
        <f t="shared" si="72"/>
        <v/>
      </c>
      <c r="CH111" s="424"/>
      <c r="CI111" s="531" t="str">
        <f t="shared" si="73"/>
        <v/>
      </c>
      <c r="CJ111" s="534" t="str">
        <f t="shared" si="74"/>
        <v/>
      </c>
      <c r="CK111" s="424"/>
      <c r="CL111" s="531" t="str">
        <f t="shared" si="75"/>
        <v/>
      </c>
      <c r="CM111" s="534" t="str">
        <f t="shared" si="76"/>
        <v/>
      </c>
      <c r="CN111" s="424"/>
      <c r="CO111" s="531" t="str">
        <f t="shared" si="55"/>
        <v/>
      </c>
      <c r="CP111" s="532" t="str">
        <f t="shared" si="56"/>
        <v/>
      </c>
      <c r="CQ111" s="534" t="str">
        <f t="shared" si="57"/>
        <v/>
      </c>
      <c r="CR111" s="424"/>
      <c r="CS111" s="531" t="str">
        <f t="shared" si="58"/>
        <v/>
      </c>
      <c r="CT111" s="532" t="str">
        <f t="shared" si="59"/>
        <v/>
      </c>
      <c r="CU111" s="534" t="str">
        <f t="shared" si="60"/>
        <v/>
      </c>
      <c r="CW111" s="535" t="str">
        <f t="shared" si="77"/>
        <v/>
      </c>
      <c r="CX111" s="536">
        <f t="shared" si="78"/>
        <v>0</v>
      </c>
    </row>
    <row r="112" spans="2:102" s="410" customFormat="1" x14ac:dyDescent="0.2">
      <c r="B112" s="169">
        <v>86</v>
      </c>
      <c r="C112" s="517"/>
      <c r="D112" s="518"/>
      <c r="E112" s="519"/>
      <c r="F112" s="518"/>
      <c r="G112" s="518"/>
      <c r="H112" s="518"/>
      <c r="I112" s="518"/>
      <c r="J112" s="519"/>
      <c r="K112" s="520"/>
      <c r="L112" s="520"/>
      <c r="M112" s="520"/>
      <c r="N112" s="521" t="str">
        <f t="shared" si="61"/>
        <v/>
      </c>
      <c r="O112" s="522"/>
      <c r="P112" s="522"/>
      <c r="Q112" s="520"/>
      <c r="R112" s="522"/>
      <c r="S112" s="522"/>
      <c r="T112" s="523"/>
      <c r="U112" s="522"/>
      <c r="V112" s="519"/>
      <c r="W112" s="522"/>
      <c r="X112" s="523"/>
      <c r="Y112" s="522"/>
      <c r="Z112" s="522"/>
      <c r="AA112" s="522"/>
      <c r="AB112" s="522"/>
      <c r="AC112" s="524"/>
      <c r="AD112" s="525"/>
      <c r="AE112" s="525"/>
      <c r="AF112" s="522"/>
      <c r="AG112" s="522"/>
      <c r="AH112" s="522"/>
      <c r="AI112" s="522"/>
      <c r="AJ112" s="522"/>
      <c r="AK112" s="522"/>
      <c r="AL112" s="522"/>
      <c r="AM112" s="526"/>
      <c r="AN112" s="506"/>
      <c r="AO112" s="527" t="str">
        <f t="shared" si="40"/>
        <v/>
      </c>
      <c r="AP112" s="528" t="str">
        <f t="shared" si="62"/>
        <v/>
      </c>
      <c r="AQ112" s="506"/>
      <c r="AR112" s="527" t="str">
        <f t="shared" si="41"/>
        <v/>
      </c>
      <c r="AS112" s="528" t="str">
        <f t="shared" si="63"/>
        <v/>
      </c>
      <c r="AT112" s="506"/>
      <c r="AU112" s="506"/>
      <c r="AV112" s="494"/>
      <c r="AW112" s="169">
        <v>86</v>
      </c>
      <c r="AX112" s="529"/>
      <c r="AY112" s="522"/>
      <c r="AZ112" s="524"/>
      <c r="BA112" s="524"/>
      <c r="BB112" s="524"/>
      <c r="BC112" s="524"/>
      <c r="BD112" s="524"/>
      <c r="BE112" s="524"/>
      <c r="BF112" s="524"/>
      <c r="BG112" s="530"/>
      <c r="BH112" s="424"/>
      <c r="BI112" s="424"/>
      <c r="BJ112" s="531" t="str">
        <f t="shared" si="42"/>
        <v/>
      </c>
      <c r="BK112" s="532" t="str">
        <f t="shared" si="43"/>
        <v/>
      </c>
      <c r="BL112" s="532" t="str">
        <f t="shared" si="64"/>
        <v/>
      </c>
      <c r="BM112" s="532" t="str">
        <f t="shared" si="65"/>
        <v/>
      </c>
      <c r="BN112" s="532" t="str">
        <f t="shared" si="66"/>
        <v/>
      </c>
      <c r="BO112" s="532" t="str">
        <f t="shared" si="44"/>
        <v/>
      </c>
      <c r="BP112" s="532" t="str">
        <f t="shared" si="45"/>
        <v/>
      </c>
      <c r="BQ112" s="532" t="str">
        <f t="shared" si="46"/>
        <v/>
      </c>
      <c r="BR112" s="532" t="str">
        <f t="shared" si="47"/>
        <v/>
      </c>
      <c r="BS112" s="532" t="str">
        <f t="shared" si="48"/>
        <v/>
      </c>
      <c r="BT112" s="532" t="str">
        <f t="shared" si="67"/>
        <v/>
      </c>
      <c r="BU112" s="532" t="str">
        <f t="shared" si="68"/>
        <v/>
      </c>
      <c r="BV112" s="532" t="str">
        <f t="shared" si="49"/>
        <v/>
      </c>
      <c r="BW112" s="532" t="str">
        <f t="shared" si="50"/>
        <v/>
      </c>
      <c r="BX112" s="532" t="str">
        <f t="shared" si="51"/>
        <v/>
      </c>
      <c r="BY112" s="532" t="str">
        <f t="shared" si="51"/>
        <v/>
      </c>
      <c r="BZ112" s="532" t="str">
        <f t="shared" si="51"/>
        <v/>
      </c>
      <c r="CA112" s="532" t="str">
        <f t="shared" si="69"/>
        <v/>
      </c>
      <c r="CB112" s="532" t="str">
        <f t="shared" si="52"/>
        <v/>
      </c>
      <c r="CC112" s="532" t="str">
        <f t="shared" si="70"/>
        <v/>
      </c>
      <c r="CD112" s="532" t="str">
        <f t="shared" si="71"/>
        <v/>
      </c>
      <c r="CE112" s="532" t="str">
        <f t="shared" si="53"/>
        <v/>
      </c>
      <c r="CF112" s="533" t="str">
        <f t="shared" si="54"/>
        <v/>
      </c>
      <c r="CG112" s="534" t="str">
        <f t="shared" si="72"/>
        <v/>
      </c>
      <c r="CH112" s="424"/>
      <c r="CI112" s="531" t="str">
        <f t="shared" si="73"/>
        <v/>
      </c>
      <c r="CJ112" s="534" t="str">
        <f t="shared" si="74"/>
        <v/>
      </c>
      <c r="CK112" s="424"/>
      <c r="CL112" s="531" t="str">
        <f t="shared" si="75"/>
        <v/>
      </c>
      <c r="CM112" s="534" t="str">
        <f t="shared" si="76"/>
        <v/>
      </c>
      <c r="CN112" s="424"/>
      <c r="CO112" s="531" t="str">
        <f t="shared" si="55"/>
        <v/>
      </c>
      <c r="CP112" s="532" t="str">
        <f t="shared" si="56"/>
        <v/>
      </c>
      <c r="CQ112" s="534" t="str">
        <f t="shared" si="57"/>
        <v/>
      </c>
      <c r="CR112" s="424"/>
      <c r="CS112" s="531" t="str">
        <f t="shared" si="58"/>
        <v/>
      </c>
      <c r="CT112" s="532" t="str">
        <f t="shared" si="59"/>
        <v/>
      </c>
      <c r="CU112" s="534" t="str">
        <f t="shared" si="60"/>
        <v/>
      </c>
      <c r="CW112" s="535" t="str">
        <f t="shared" si="77"/>
        <v/>
      </c>
      <c r="CX112" s="536">
        <f t="shared" si="78"/>
        <v>0</v>
      </c>
    </row>
    <row r="113" spans="1:102" s="410" customFormat="1" x14ac:dyDescent="0.2">
      <c r="B113" s="169">
        <v>87</v>
      </c>
      <c r="C113" s="517"/>
      <c r="D113" s="518"/>
      <c r="E113" s="519"/>
      <c r="F113" s="518"/>
      <c r="G113" s="518"/>
      <c r="H113" s="518"/>
      <c r="I113" s="518"/>
      <c r="J113" s="519"/>
      <c r="K113" s="520"/>
      <c r="L113" s="520"/>
      <c r="M113" s="520"/>
      <c r="N113" s="521" t="str">
        <f t="shared" si="61"/>
        <v/>
      </c>
      <c r="O113" s="522"/>
      <c r="P113" s="522"/>
      <c r="Q113" s="520"/>
      <c r="R113" s="522"/>
      <c r="S113" s="522"/>
      <c r="T113" s="523"/>
      <c r="U113" s="522"/>
      <c r="V113" s="519"/>
      <c r="W113" s="522"/>
      <c r="X113" s="523"/>
      <c r="Y113" s="522"/>
      <c r="Z113" s="522"/>
      <c r="AA113" s="522"/>
      <c r="AB113" s="522"/>
      <c r="AC113" s="524"/>
      <c r="AD113" s="525"/>
      <c r="AE113" s="525"/>
      <c r="AF113" s="522"/>
      <c r="AG113" s="522"/>
      <c r="AH113" s="522"/>
      <c r="AI113" s="522"/>
      <c r="AJ113" s="522"/>
      <c r="AK113" s="522"/>
      <c r="AL113" s="522"/>
      <c r="AM113" s="526"/>
      <c r="AN113" s="506"/>
      <c r="AO113" s="527" t="str">
        <f t="shared" si="40"/>
        <v/>
      </c>
      <c r="AP113" s="528" t="str">
        <f t="shared" si="62"/>
        <v/>
      </c>
      <c r="AQ113" s="506"/>
      <c r="AR113" s="527" t="str">
        <f t="shared" si="41"/>
        <v/>
      </c>
      <c r="AS113" s="528" t="str">
        <f t="shared" si="63"/>
        <v/>
      </c>
      <c r="AT113" s="506"/>
      <c r="AU113" s="506"/>
      <c r="AV113" s="494"/>
      <c r="AW113" s="169">
        <v>87</v>
      </c>
      <c r="AX113" s="529"/>
      <c r="AY113" s="522"/>
      <c r="AZ113" s="524"/>
      <c r="BA113" s="524"/>
      <c r="BB113" s="524"/>
      <c r="BC113" s="524"/>
      <c r="BD113" s="524"/>
      <c r="BE113" s="524"/>
      <c r="BF113" s="524"/>
      <c r="BG113" s="530"/>
      <c r="BH113" s="424"/>
      <c r="BI113" s="424"/>
      <c r="BJ113" s="531" t="str">
        <f t="shared" si="42"/>
        <v/>
      </c>
      <c r="BK113" s="532" t="str">
        <f t="shared" si="43"/>
        <v/>
      </c>
      <c r="BL113" s="532" t="str">
        <f t="shared" si="64"/>
        <v/>
      </c>
      <c r="BM113" s="532" t="str">
        <f t="shared" si="65"/>
        <v/>
      </c>
      <c r="BN113" s="532" t="str">
        <f t="shared" si="66"/>
        <v/>
      </c>
      <c r="BO113" s="532" t="str">
        <f t="shared" si="44"/>
        <v/>
      </c>
      <c r="BP113" s="532" t="str">
        <f t="shared" si="45"/>
        <v/>
      </c>
      <c r="BQ113" s="532" t="str">
        <f t="shared" si="46"/>
        <v/>
      </c>
      <c r="BR113" s="532" t="str">
        <f t="shared" si="47"/>
        <v/>
      </c>
      <c r="BS113" s="532" t="str">
        <f t="shared" si="48"/>
        <v/>
      </c>
      <c r="BT113" s="532" t="str">
        <f t="shared" si="67"/>
        <v/>
      </c>
      <c r="BU113" s="532" t="str">
        <f t="shared" si="68"/>
        <v/>
      </c>
      <c r="BV113" s="532" t="str">
        <f t="shared" si="49"/>
        <v/>
      </c>
      <c r="BW113" s="532" t="str">
        <f t="shared" si="50"/>
        <v/>
      </c>
      <c r="BX113" s="532" t="str">
        <f t="shared" si="51"/>
        <v/>
      </c>
      <c r="BY113" s="532" t="str">
        <f t="shared" si="51"/>
        <v/>
      </c>
      <c r="BZ113" s="532" t="str">
        <f t="shared" si="51"/>
        <v/>
      </c>
      <c r="CA113" s="532" t="str">
        <f t="shared" si="69"/>
        <v/>
      </c>
      <c r="CB113" s="532" t="str">
        <f t="shared" si="52"/>
        <v/>
      </c>
      <c r="CC113" s="532" t="str">
        <f t="shared" si="70"/>
        <v/>
      </c>
      <c r="CD113" s="532" t="str">
        <f t="shared" si="71"/>
        <v/>
      </c>
      <c r="CE113" s="532" t="str">
        <f t="shared" si="53"/>
        <v/>
      </c>
      <c r="CF113" s="533" t="str">
        <f t="shared" si="54"/>
        <v/>
      </c>
      <c r="CG113" s="534" t="str">
        <f t="shared" si="72"/>
        <v/>
      </c>
      <c r="CH113" s="424"/>
      <c r="CI113" s="531" t="str">
        <f t="shared" si="73"/>
        <v/>
      </c>
      <c r="CJ113" s="534" t="str">
        <f t="shared" si="74"/>
        <v/>
      </c>
      <c r="CK113" s="424"/>
      <c r="CL113" s="531" t="str">
        <f t="shared" si="75"/>
        <v/>
      </c>
      <c r="CM113" s="534" t="str">
        <f t="shared" si="76"/>
        <v/>
      </c>
      <c r="CN113" s="424"/>
      <c r="CO113" s="531" t="str">
        <f t="shared" si="55"/>
        <v/>
      </c>
      <c r="CP113" s="532" t="str">
        <f t="shared" si="56"/>
        <v/>
      </c>
      <c r="CQ113" s="534" t="str">
        <f t="shared" si="57"/>
        <v/>
      </c>
      <c r="CR113" s="424"/>
      <c r="CS113" s="531" t="str">
        <f t="shared" si="58"/>
        <v/>
      </c>
      <c r="CT113" s="532" t="str">
        <f t="shared" si="59"/>
        <v/>
      </c>
      <c r="CU113" s="534" t="str">
        <f t="shared" si="60"/>
        <v/>
      </c>
      <c r="CW113" s="535" t="str">
        <f t="shared" si="77"/>
        <v/>
      </c>
      <c r="CX113" s="536">
        <f t="shared" si="78"/>
        <v>0</v>
      </c>
    </row>
    <row r="114" spans="1:102" s="410" customFormat="1" x14ac:dyDescent="0.2">
      <c r="B114" s="169">
        <v>88</v>
      </c>
      <c r="C114" s="517"/>
      <c r="D114" s="518"/>
      <c r="E114" s="519"/>
      <c r="F114" s="518"/>
      <c r="G114" s="518"/>
      <c r="H114" s="518"/>
      <c r="I114" s="518"/>
      <c r="J114" s="519"/>
      <c r="K114" s="520"/>
      <c r="L114" s="520"/>
      <c r="M114" s="520"/>
      <c r="N114" s="521" t="str">
        <f t="shared" si="61"/>
        <v/>
      </c>
      <c r="O114" s="522"/>
      <c r="P114" s="522"/>
      <c r="Q114" s="520"/>
      <c r="R114" s="522"/>
      <c r="S114" s="522"/>
      <c r="T114" s="523"/>
      <c r="U114" s="522"/>
      <c r="V114" s="519"/>
      <c r="W114" s="522"/>
      <c r="X114" s="523"/>
      <c r="Y114" s="522"/>
      <c r="Z114" s="522"/>
      <c r="AA114" s="522"/>
      <c r="AB114" s="522"/>
      <c r="AC114" s="524"/>
      <c r="AD114" s="525"/>
      <c r="AE114" s="525"/>
      <c r="AF114" s="522"/>
      <c r="AG114" s="522"/>
      <c r="AH114" s="522"/>
      <c r="AI114" s="522"/>
      <c r="AJ114" s="522"/>
      <c r="AK114" s="522"/>
      <c r="AL114" s="522"/>
      <c r="AM114" s="526"/>
      <c r="AN114" s="506"/>
      <c r="AO114" s="527" t="str">
        <f t="shared" si="40"/>
        <v/>
      </c>
      <c r="AP114" s="528" t="str">
        <f t="shared" si="62"/>
        <v/>
      </c>
      <c r="AQ114" s="506"/>
      <c r="AR114" s="527" t="str">
        <f t="shared" si="41"/>
        <v/>
      </c>
      <c r="AS114" s="528" t="str">
        <f t="shared" si="63"/>
        <v/>
      </c>
      <c r="AT114" s="506"/>
      <c r="AU114" s="506"/>
      <c r="AV114" s="494"/>
      <c r="AW114" s="169">
        <v>88</v>
      </c>
      <c r="AX114" s="529"/>
      <c r="AY114" s="522"/>
      <c r="AZ114" s="524"/>
      <c r="BA114" s="524"/>
      <c r="BB114" s="524"/>
      <c r="BC114" s="524"/>
      <c r="BD114" s="524"/>
      <c r="BE114" s="524"/>
      <c r="BF114" s="524"/>
      <c r="BG114" s="530"/>
      <c r="BH114" s="424"/>
      <c r="BI114" s="424"/>
      <c r="BJ114" s="531" t="str">
        <f t="shared" si="42"/>
        <v/>
      </c>
      <c r="BK114" s="532" t="str">
        <f t="shared" si="43"/>
        <v/>
      </c>
      <c r="BL114" s="532" t="str">
        <f t="shared" si="64"/>
        <v/>
      </c>
      <c r="BM114" s="532" t="str">
        <f t="shared" si="65"/>
        <v/>
      </c>
      <c r="BN114" s="532" t="str">
        <f t="shared" si="66"/>
        <v/>
      </c>
      <c r="BO114" s="532" t="str">
        <f t="shared" si="44"/>
        <v/>
      </c>
      <c r="BP114" s="532" t="str">
        <f t="shared" si="45"/>
        <v/>
      </c>
      <c r="BQ114" s="532" t="str">
        <f t="shared" si="46"/>
        <v/>
      </c>
      <c r="BR114" s="532" t="str">
        <f t="shared" si="47"/>
        <v/>
      </c>
      <c r="BS114" s="532" t="str">
        <f t="shared" si="48"/>
        <v/>
      </c>
      <c r="BT114" s="532" t="str">
        <f t="shared" si="67"/>
        <v/>
      </c>
      <c r="BU114" s="532" t="str">
        <f t="shared" si="68"/>
        <v/>
      </c>
      <c r="BV114" s="532" t="str">
        <f t="shared" si="49"/>
        <v/>
      </c>
      <c r="BW114" s="532" t="str">
        <f t="shared" si="50"/>
        <v/>
      </c>
      <c r="BX114" s="532" t="str">
        <f t="shared" si="51"/>
        <v/>
      </c>
      <c r="BY114" s="532" t="str">
        <f t="shared" si="51"/>
        <v/>
      </c>
      <c r="BZ114" s="532" t="str">
        <f t="shared" si="51"/>
        <v/>
      </c>
      <c r="CA114" s="532" t="str">
        <f t="shared" si="69"/>
        <v/>
      </c>
      <c r="CB114" s="532" t="str">
        <f t="shared" si="52"/>
        <v/>
      </c>
      <c r="CC114" s="532" t="str">
        <f t="shared" si="70"/>
        <v/>
      </c>
      <c r="CD114" s="532" t="str">
        <f t="shared" si="71"/>
        <v/>
      </c>
      <c r="CE114" s="532" t="str">
        <f t="shared" si="53"/>
        <v/>
      </c>
      <c r="CF114" s="533" t="str">
        <f t="shared" si="54"/>
        <v/>
      </c>
      <c r="CG114" s="534" t="str">
        <f t="shared" si="72"/>
        <v/>
      </c>
      <c r="CH114" s="424"/>
      <c r="CI114" s="531" t="str">
        <f t="shared" si="73"/>
        <v/>
      </c>
      <c r="CJ114" s="534" t="str">
        <f t="shared" si="74"/>
        <v/>
      </c>
      <c r="CK114" s="424"/>
      <c r="CL114" s="531" t="str">
        <f t="shared" si="75"/>
        <v/>
      </c>
      <c r="CM114" s="534" t="str">
        <f t="shared" si="76"/>
        <v/>
      </c>
      <c r="CN114" s="424"/>
      <c r="CO114" s="531" t="str">
        <f t="shared" si="55"/>
        <v/>
      </c>
      <c r="CP114" s="532" t="str">
        <f t="shared" si="56"/>
        <v/>
      </c>
      <c r="CQ114" s="534" t="str">
        <f t="shared" si="57"/>
        <v/>
      </c>
      <c r="CR114" s="424"/>
      <c r="CS114" s="531" t="str">
        <f t="shared" si="58"/>
        <v/>
      </c>
      <c r="CT114" s="532" t="str">
        <f t="shared" si="59"/>
        <v/>
      </c>
      <c r="CU114" s="534" t="str">
        <f t="shared" si="60"/>
        <v/>
      </c>
      <c r="CW114" s="535" t="str">
        <f t="shared" si="77"/>
        <v/>
      </c>
      <c r="CX114" s="536">
        <f t="shared" si="78"/>
        <v>0</v>
      </c>
    </row>
    <row r="115" spans="1:102" s="410" customFormat="1" x14ac:dyDescent="0.2">
      <c r="B115" s="169">
        <v>89</v>
      </c>
      <c r="C115" s="517"/>
      <c r="D115" s="518"/>
      <c r="E115" s="519"/>
      <c r="F115" s="518"/>
      <c r="G115" s="518"/>
      <c r="H115" s="518"/>
      <c r="I115" s="518"/>
      <c r="J115" s="519"/>
      <c r="K115" s="520"/>
      <c r="L115" s="520"/>
      <c r="M115" s="520"/>
      <c r="N115" s="521" t="str">
        <f t="shared" si="61"/>
        <v/>
      </c>
      <c r="O115" s="522"/>
      <c r="P115" s="522"/>
      <c r="Q115" s="520"/>
      <c r="R115" s="522"/>
      <c r="S115" s="522"/>
      <c r="T115" s="523"/>
      <c r="U115" s="522"/>
      <c r="V115" s="519"/>
      <c r="W115" s="522"/>
      <c r="X115" s="523"/>
      <c r="Y115" s="522"/>
      <c r="Z115" s="522"/>
      <c r="AA115" s="522"/>
      <c r="AB115" s="522"/>
      <c r="AC115" s="524"/>
      <c r="AD115" s="525"/>
      <c r="AE115" s="525"/>
      <c r="AF115" s="522"/>
      <c r="AG115" s="522"/>
      <c r="AH115" s="522"/>
      <c r="AI115" s="522"/>
      <c r="AJ115" s="522"/>
      <c r="AK115" s="522"/>
      <c r="AL115" s="522"/>
      <c r="AM115" s="526"/>
      <c r="AN115" s="506"/>
      <c r="AO115" s="527" t="str">
        <f t="shared" si="40"/>
        <v/>
      </c>
      <c r="AP115" s="528" t="str">
        <f t="shared" si="62"/>
        <v/>
      </c>
      <c r="AQ115" s="506"/>
      <c r="AR115" s="527" t="str">
        <f t="shared" si="41"/>
        <v/>
      </c>
      <c r="AS115" s="528" t="str">
        <f t="shared" si="63"/>
        <v/>
      </c>
      <c r="AT115" s="506"/>
      <c r="AU115" s="506"/>
      <c r="AV115" s="494"/>
      <c r="AW115" s="169">
        <v>89</v>
      </c>
      <c r="AX115" s="529"/>
      <c r="AY115" s="522"/>
      <c r="AZ115" s="524"/>
      <c r="BA115" s="524"/>
      <c r="BB115" s="524"/>
      <c r="BC115" s="524"/>
      <c r="BD115" s="524"/>
      <c r="BE115" s="524"/>
      <c r="BF115" s="524"/>
      <c r="BG115" s="530"/>
      <c r="BH115" s="424"/>
      <c r="BI115" s="424"/>
      <c r="BJ115" s="531" t="str">
        <f t="shared" si="42"/>
        <v/>
      </c>
      <c r="BK115" s="532" t="str">
        <f t="shared" si="43"/>
        <v/>
      </c>
      <c r="BL115" s="532" t="str">
        <f t="shared" si="64"/>
        <v/>
      </c>
      <c r="BM115" s="532" t="str">
        <f t="shared" si="65"/>
        <v/>
      </c>
      <c r="BN115" s="532" t="str">
        <f t="shared" si="66"/>
        <v/>
      </c>
      <c r="BO115" s="532" t="str">
        <f t="shared" si="44"/>
        <v/>
      </c>
      <c r="BP115" s="532" t="str">
        <f t="shared" si="45"/>
        <v/>
      </c>
      <c r="BQ115" s="532" t="str">
        <f t="shared" si="46"/>
        <v/>
      </c>
      <c r="BR115" s="532" t="str">
        <f t="shared" si="47"/>
        <v/>
      </c>
      <c r="BS115" s="532" t="str">
        <f t="shared" si="48"/>
        <v/>
      </c>
      <c r="BT115" s="532" t="str">
        <f t="shared" si="67"/>
        <v/>
      </c>
      <c r="BU115" s="532" t="str">
        <f t="shared" si="68"/>
        <v/>
      </c>
      <c r="BV115" s="532" t="str">
        <f t="shared" si="49"/>
        <v/>
      </c>
      <c r="BW115" s="532" t="str">
        <f t="shared" si="50"/>
        <v/>
      </c>
      <c r="BX115" s="532" t="str">
        <f t="shared" si="51"/>
        <v/>
      </c>
      <c r="BY115" s="532" t="str">
        <f t="shared" si="51"/>
        <v/>
      </c>
      <c r="BZ115" s="532" t="str">
        <f t="shared" si="51"/>
        <v/>
      </c>
      <c r="CA115" s="532" t="str">
        <f t="shared" si="69"/>
        <v/>
      </c>
      <c r="CB115" s="532" t="str">
        <f t="shared" si="52"/>
        <v/>
      </c>
      <c r="CC115" s="532" t="str">
        <f t="shared" si="70"/>
        <v/>
      </c>
      <c r="CD115" s="532" t="str">
        <f t="shared" si="71"/>
        <v/>
      </c>
      <c r="CE115" s="532" t="str">
        <f t="shared" si="53"/>
        <v/>
      </c>
      <c r="CF115" s="533" t="str">
        <f t="shared" si="54"/>
        <v/>
      </c>
      <c r="CG115" s="534" t="str">
        <f t="shared" si="72"/>
        <v/>
      </c>
      <c r="CH115" s="424"/>
      <c r="CI115" s="531" t="str">
        <f t="shared" si="73"/>
        <v/>
      </c>
      <c r="CJ115" s="534" t="str">
        <f t="shared" si="74"/>
        <v/>
      </c>
      <c r="CK115" s="424"/>
      <c r="CL115" s="531" t="str">
        <f t="shared" si="75"/>
        <v/>
      </c>
      <c r="CM115" s="534" t="str">
        <f t="shared" si="76"/>
        <v/>
      </c>
      <c r="CN115" s="424"/>
      <c r="CO115" s="531" t="str">
        <f t="shared" si="55"/>
        <v/>
      </c>
      <c r="CP115" s="532" t="str">
        <f t="shared" si="56"/>
        <v/>
      </c>
      <c r="CQ115" s="534" t="str">
        <f t="shared" si="57"/>
        <v/>
      </c>
      <c r="CR115" s="424"/>
      <c r="CS115" s="531" t="str">
        <f t="shared" si="58"/>
        <v/>
      </c>
      <c r="CT115" s="532" t="str">
        <f t="shared" si="59"/>
        <v/>
      </c>
      <c r="CU115" s="534" t="str">
        <f t="shared" si="60"/>
        <v/>
      </c>
      <c r="CW115" s="535" t="str">
        <f t="shared" si="77"/>
        <v/>
      </c>
      <c r="CX115" s="536">
        <f t="shared" si="78"/>
        <v>0</v>
      </c>
    </row>
    <row r="116" spans="1:102" s="410" customFormat="1" x14ac:dyDescent="0.2">
      <c r="B116" s="169">
        <v>90</v>
      </c>
      <c r="C116" s="517"/>
      <c r="D116" s="518"/>
      <c r="E116" s="519"/>
      <c r="F116" s="518"/>
      <c r="G116" s="518"/>
      <c r="H116" s="518"/>
      <c r="I116" s="518"/>
      <c r="J116" s="519"/>
      <c r="K116" s="520"/>
      <c r="L116" s="520"/>
      <c r="M116" s="520"/>
      <c r="N116" s="521" t="str">
        <f t="shared" si="61"/>
        <v/>
      </c>
      <c r="O116" s="522"/>
      <c r="P116" s="522"/>
      <c r="Q116" s="520"/>
      <c r="R116" s="522"/>
      <c r="S116" s="522"/>
      <c r="T116" s="523"/>
      <c r="U116" s="522"/>
      <c r="V116" s="519"/>
      <c r="W116" s="522"/>
      <c r="X116" s="523"/>
      <c r="Y116" s="522"/>
      <c r="Z116" s="522"/>
      <c r="AA116" s="522"/>
      <c r="AB116" s="522"/>
      <c r="AC116" s="524"/>
      <c r="AD116" s="525"/>
      <c r="AE116" s="525"/>
      <c r="AF116" s="522"/>
      <c r="AG116" s="522"/>
      <c r="AH116" s="522"/>
      <c r="AI116" s="522"/>
      <c r="AJ116" s="522"/>
      <c r="AK116" s="522"/>
      <c r="AL116" s="522"/>
      <c r="AM116" s="526"/>
      <c r="AN116" s="506"/>
      <c r="AO116" s="527" t="str">
        <f t="shared" si="40"/>
        <v/>
      </c>
      <c r="AP116" s="528" t="str">
        <f t="shared" si="62"/>
        <v/>
      </c>
      <c r="AQ116" s="506"/>
      <c r="AR116" s="527" t="str">
        <f t="shared" si="41"/>
        <v/>
      </c>
      <c r="AS116" s="528" t="str">
        <f t="shared" si="63"/>
        <v/>
      </c>
      <c r="AT116" s="506"/>
      <c r="AU116" s="506"/>
      <c r="AV116" s="494"/>
      <c r="AW116" s="169">
        <v>90</v>
      </c>
      <c r="AX116" s="529"/>
      <c r="AY116" s="522"/>
      <c r="AZ116" s="524"/>
      <c r="BA116" s="524"/>
      <c r="BB116" s="524"/>
      <c r="BC116" s="524"/>
      <c r="BD116" s="524"/>
      <c r="BE116" s="524"/>
      <c r="BF116" s="524"/>
      <c r="BG116" s="530"/>
      <c r="BH116" s="424"/>
      <c r="BI116" s="424"/>
      <c r="BJ116" s="531" t="str">
        <f t="shared" si="42"/>
        <v/>
      </c>
      <c r="BK116" s="532" t="str">
        <f t="shared" si="43"/>
        <v/>
      </c>
      <c r="BL116" s="532" t="str">
        <f t="shared" si="64"/>
        <v/>
      </c>
      <c r="BM116" s="532" t="str">
        <f t="shared" si="65"/>
        <v/>
      </c>
      <c r="BN116" s="532" t="str">
        <f t="shared" si="66"/>
        <v/>
      </c>
      <c r="BO116" s="532" t="str">
        <f t="shared" si="44"/>
        <v/>
      </c>
      <c r="BP116" s="532" t="str">
        <f t="shared" si="45"/>
        <v/>
      </c>
      <c r="BQ116" s="532" t="str">
        <f t="shared" si="46"/>
        <v/>
      </c>
      <c r="BR116" s="532" t="str">
        <f t="shared" si="47"/>
        <v/>
      </c>
      <c r="BS116" s="532" t="str">
        <f t="shared" si="48"/>
        <v/>
      </c>
      <c r="BT116" s="532" t="str">
        <f t="shared" si="67"/>
        <v/>
      </c>
      <c r="BU116" s="532" t="str">
        <f t="shared" si="68"/>
        <v/>
      </c>
      <c r="BV116" s="532" t="str">
        <f t="shared" si="49"/>
        <v/>
      </c>
      <c r="BW116" s="532" t="str">
        <f t="shared" si="50"/>
        <v/>
      </c>
      <c r="BX116" s="532" t="str">
        <f t="shared" si="51"/>
        <v/>
      </c>
      <c r="BY116" s="532" t="str">
        <f t="shared" si="51"/>
        <v/>
      </c>
      <c r="BZ116" s="532" t="str">
        <f t="shared" si="51"/>
        <v/>
      </c>
      <c r="CA116" s="532" t="str">
        <f t="shared" si="69"/>
        <v/>
      </c>
      <c r="CB116" s="532" t="str">
        <f t="shared" si="52"/>
        <v/>
      </c>
      <c r="CC116" s="532" t="str">
        <f t="shared" si="70"/>
        <v/>
      </c>
      <c r="CD116" s="532" t="str">
        <f t="shared" si="71"/>
        <v/>
      </c>
      <c r="CE116" s="532" t="str">
        <f t="shared" si="53"/>
        <v/>
      </c>
      <c r="CF116" s="533" t="str">
        <f t="shared" si="54"/>
        <v/>
      </c>
      <c r="CG116" s="534" t="str">
        <f t="shared" si="72"/>
        <v/>
      </c>
      <c r="CH116" s="424"/>
      <c r="CI116" s="531" t="str">
        <f t="shared" si="73"/>
        <v/>
      </c>
      <c r="CJ116" s="534" t="str">
        <f t="shared" si="74"/>
        <v/>
      </c>
      <c r="CK116" s="424"/>
      <c r="CL116" s="531" t="str">
        <f t="shared" si="75"/>
        <v/>
      </c>
      <c r="CM116" s="534" t="str">
        <f t="shared" si="76"/>
        <v/>
      </c>
      <c r="CN116" s="424"/>
      <c r="CO116" s="531" t="str">
        <f t="shared" si="55"/>
        <v/>
      </c>
      <c r="CP116" s="532" t="str">
        <f t="shared" si="56"/>
        <v/>
      </c>
      <c r="CQ116" s="534" t="str">
        <f t="shared" si="57"/>
        <v/>
      </c>
      <c r="CR116" s="424"/>
      <c r="CS116" s="531" t="str">
        <f t="shared" si="58"/>
        <v/>
      </c>
      <c r="CT116" s="532" t="str">
        <f t="shared" si="59"/>
        <v/>
      </c>
      <c r="CU116" s="534" t="str">
        <f t="shared" si="60"/>
        <v/>
      </c>
      <c r="CW116" s="535" t="str">
        <f t="shared" si="77"/>
        <v/>
      </c>
      <c r="CX116" s="536">
        <f t="shared" si="78"/>
        <v>0</v>
      </c>
    </row>
    <row r="117" spans="1:102" s="410" customFormat="1" x14ac:dyDescent="0.2">
      <c r="B117" s="169">
        <v>91</v>
      </c>
      <c r="C117" s="517"/>
      <c r="D117" s="518"/>
      <c r="E117" s="519"/>
      <c r="F117" s="518"/>
      <c r="G117" s="518"/>
      <c r="H117" s="518"/>
      <c r="I117" s="518"/>
      <c r="J117" s="519"/>
      <c r="K117" s="520"/>
      <c r="L117" s="520"/>
      <c r="M117" s="520"/>
      <c r="N117" s="521" t="str">
        <f t="shared" si="61"/>
        <v/>
      </c>
      <c r="O117" s="522"/>
      <c r="P117" s="522"/>
      <c r="Q117" s="520"/>
      <c r="R117" s="522"/>
      <c r="S117" s="522"/>
      <c r="T117" s="523"/>
      <c r="U117" s="522"/>
      <c r="V117" s="519"/>
      <c r="W117" s="522"/>
      <c r="X117" s="523"/>
      <c r="Y117" s="522"/>
      <c r="Z117" s="522"/>
      <c r="AA117" s="522"/>
      <c r="AB117" s="522"/>
      <c r="AC117" s="524"/>
      <c r="AD117" s="525"/>
      <c r="AE117" s="525"/>
      <c r="AF117" s="522"/>
      <c r="AG117" s="522"/>
      <c r="AH117" s="522"/>
      <c r="AI117" s="522"/>
      <c r="AJ117" s="522"/>
      <c r="AK117" s="522"/>
      <c r="AL117" s="522"/>
      <c r="AM117" s="526"/>
      <c r="AN117" s="506"/>
      <c r="AO117" s="527" t="str">
        <f t="shared" si="40"/>
        <v/>
      </c>
      <c r="AP117" s="528" t="str">
        <f t="shared" si="62"/>
        <v/>
      </c>
      <c r="AQ117" s="506"/>
      <c r="AR117" s="527" t="str">
        <f t="shared" si="41"/>
        <v/>
      </c>
      <c r="AS117" s="528" t="str">
        <f t="shared" si="63"/>
        <v/>
      </c>
      <c r="AT117" s="506"/>
      <c r="AU117" s="506"/>
      <c r="AV117" s="494"/>
      <c r="AW117" s="169">
        <v>91</v>
      </c>
      <c r="AX117" s="529"/>
      <c r="AY117" s="522"/>
      <c r="AZ117" s="524"/>
      <c r="BA117" s="524"/>
      <c r="BB117" s="524"/>
      <c r="BC117" s="524"/>
      <c r="BD117" s="524"/>
      <c r="BE117" s="524"/>
      <c r="BF117" s="524"/>
      <c r="BG117" s="530"/>
      <c r="BH117" s="424"/>
      <c r="BI117" s="424"/>
      <c r="BJ117" s="531" t="str">
        <f t="shared" si="42"/>
        <v/>
      </c>
      <c r="BK117" s="532" t="str">
        <f t="shared" si="43"/>
        <v/>
      </c>
      <c r="BL117" s="532" t="str">
        <f t="shared" si="64"/>
        <v/>
      </c>
      <c r="BM117" s="532" t="str">
        <f t="shared" si="65"/>
        <v/>
      </c>
      <c r="BN117" s="532" t="str">
        <f t="shared" si="66"/>
        <v/>
      </c>
      <c r="BO117" s="532" t="str">
        <f t="shared" si="44"/>
        <v/>
      </c>
      <c r="BP117" s="532" t="str">
        <f t="shared" si="45"/>
        <v/>
      </c>
      <c r="BQ117" s="532" t="str">
        <f t="shared" si="46"/>
        <v/>
      </c>
      <c r="BR117" s="532" t="str">
        <f t="shared" si="47"/>
        <v/>
      </c>
      <c r="BS117" s="532" t="str">
        <f t="shared" si="48"/>
        <v/>
      </c>
      <c r="BT117" s="532" t="str">
        <f t="shared" si="67"/>
        <v/>
      </c>
      <c r="BU117" s="532" t="str">
        <f t="shared" si="68"/>
        <v/>
      </c>
      <c r="BV117" s="532" t="str">
        <f t="shared" si="49"/>
        <v/>
      </c>
      <c r="BW117" s="532" t="str">
        <f t="shared" si="50"/>
        <v/>
      </c>
      <c r="BX117" s="532" t="str">
        <f t="shared" si="51"/>
        <v/>
      </c>
      <c r="BY117" s="532" t="str">
        <f t="shared" si="51"/>
        <v/>
      </c>
      <c r="BZ117" s="532" t="str">
        <f t="shared" si="51"/>
        <v/>
      </c>
      <c r="CA117" s="532" t="str">
        <f t="shared" si="69"/>
        <v/>
      </c>
      <c r="CB117" s="532" t="str">
        <f t="shared" si="52"/>
        <v/>
      </c>
      <c r="CC117" s="532" t="str">
        <f t="shared" si="70"/>
        <v/>
      </c>
      <c r="CD117" s="532" t="str">
        <f t="shared" si="71"/>
        <v/>
      </c>
      <c r="CE117" s="532" t="str">
        <f t="shared" si="53"/>
        <v/>
      </c>
      <c r="CF117" s="533" t="str">
        <f t="shared" si="54"/>
        <v/>
      </c>
      <c r="CG117" s="534" t="str">
        <f t="shared" si="72"/>
        <v/>
      </c>
      <c r="CH117" s="424"/>
      <c r="CI117" s="531" t="str">
        <f t="shared" si="73"/>
        <v/>
      </c>
      <c r="CJ117" s="534" t="str">
        <f t="shared" si="74"/>
        <v/>
      </c>
      <c r="CK117" s="424"/>
      <c r="CL117" s="531" t="str">
        <f t="shared" si="75"/>
        <v/>
      </c>
      <c r="CM117" s="534" t="str">
        <f t="shared" si="76"/>
        <v/>
      </c>
      <c r="CN117" s="424"/>
      <c r="CO117" s="531" t="str">
        <f t="shared" si="55"/>
        <v/>
      </c>
      <c r="CP117" s="532" t="str">
        <f t="shared" si="56"/>
        <v/>
      </c>
      <c r="CQ117" s="534" t="str">
        <f t="shared" si="57"/>
        <v/>
      </c>
      <c r="CR117" s="424"/>
      <c r="CS117" s="531" t="str">
        <f t="shared" si="58"/>
        <v/>
      </c>
      <c r="CT117" s="532" t="str">
        <f t="shared" si="59"/>
        <v/>
      </c>
      <c r="CU117" s="534" t="str">
        <f t="shared" si="60"/>
        <v/>
      </c>
      <c r="CW117" s="535" t="str">
        <f t="shared" si="77"/>
        <v/>
      </c>
      <c r="CX117" s="536">
        <f t="shared" si="78"/>
        <v>0</v>
      </c>
    </row>
    <row r="118" spans="1:102" s="410" customFormat="1" x14ac:dyDescent="0.2">
      <c r="B118" s="169">
        <v>92</v>
      </c>
      <c r="C118" s="517"/>
      <c r="D118" s="518"/>
      <c r="E118" s="519"/>
      <c r="F118" s="518"/>
      <c r="G118" s="518"/>
      <c r="H118" s="518"/>
      <c r="I118" s="518"/>
      <c r="J118" s="519"/>
      <c r="K118" s="520"/>
      <c r="L118" s="520"/>
      <c r="M118" s="520"/>
      <c r="N118" s="521" t="str">
        <f t="shared" si="61"/>
        <v/>
      </c>
      <c r="O118" s="522"/>
      <c r="P118" s="522"/>
      <c r="Q118" s="520"/>
      <c r="R118" s="522"/>
      <c r="S118" s="522"/>
      <c r="T118" s="523"/>
      <c r="U118" s="522"/>
      <c r="V118" s="519"/>
      <c r="W118" s="522"/>
      <c r="X118" s="523"/>
      <c r="Y118" s="522"/>
      <c r="Z118" s="522"/>
      <c r="AA118" s="522"/>
      <c r="AB118" s="522"/>
      <c r="AC118" s="524"/>
      <c r="AD118" s="525"/>
      <c r="AE118" s="525"/>
      <c r="AF118" s="522"/>
      <c r="AG118" s="522"/>
      <c r="AH118" s="522"/>
      <c r="AI118" s="522"/>
      <c r="AJ118" s="522"/>
      <c r="AK118" s="522"/>
      <c r="AL118" s="522"/>
      <c r="AM118" s="526"/>
      <c r="AN118" s="506"/>
      <c r="AO118" s="527" t="str">
        <f t="shared" si="40"/>
        <v/>
      </c>
      <c r="AP118" s="528" t="str">
        <f t="shared" si="62"/>
        <v/>
      </c>
      <c r="AQ118" s="506"/>
      <c r="AR118" s="527" t="str">
        <f t="shared" si="41"/>
        <v/>
      </c>
      <c r="AS118" s="528" t="str">
        <f t="shared" si="63"/>
        <v/>
      </c>
      <c r="AT118" s="506"/>
      <c r="AU118" s="506"/>
      <c r="AV118" s="494"/>
      <c r="AW118" s="169">
        <v>92</v>
      </c>
      <c r="AX118" s="529"/>
      <c r="AY118" s="522"/>
      <c r="AZ118" s="524"/>
      <c r="BA118" s="524"/>
      <c r="BB118" s="524"/>
      <c r="BC118" s="524"/>
      <c r="BD118" s="524"/>
      <c r="BE118" s="524"/>
      <c r="BF118" s="524"/>
      <c r="BG118" s="530"/>
      <c r="BH118" s="424"/>
      <c r="BI118" s="424"/>
      <c r="BJ118" s="531" t="str">
        <f t="shared" si="42"/>
        <v/>
      </c>
      <c r="BK118" s="532" t="str">
        <f t="shared" si="43"/>
        <v/>
      </c>
      <c r="BL118" s="532" t="str">
        <f t="shared" si="64"/>
        <v/>
      </c>
      <c r="BM118" s="532" t="str">
        <f t="shared" si="65"/>
        <v/>
      </c>
      <c r="BN118" s="532" t="str">
        <f t="shared" si="66"/>
        <v/>
      </c>
      <c r="BO118" s="532" t="str">
        <f t="shared" si="44"/>
        <v/>
      </c>
      <c r="BP118" s="532" t="str">
        <f t="shared" si="45"/>
        <v/>
      </c>
      <c r="BQ118" s="532" t="str">
        <f t="shared" si="46"/>
        <v/>
      </c>
      <c r="BR118" s="532" t="str">
        <f t="shared" si="47"/>
        <v/>
      </c>
      <c r="BS118" s="532" t="str">
        <f t="shared" si="48"/>
        <v/>
      </c>
      <c r="BT118" s="532" t="str">
        <f t="shared" si="67"/>
        <v/>
      </c>
      <c r="BU118" s="532" t="str">
        <f t="shared" si="68"/>
        <v/>
      </c>
      <c r="BV118" s="532" t="str">
        <f t="shared" si="49"/>
        <v/>
      </c>
      <c r="BW118" s="532" t="str">
        <f t="shared" si="50"/>
        <v/>
      </c>
      <c r="BX118" s="532" t="str">
        <f t="shared" si="51"/>
        <v/>
      </c>
      <c r="BY118" s="532" t="str">
        <f t="shared" si="51"/>
        <v/>
      </c>
      <c r="BZ118" s="532" t="str">
        <f t="shared" si="51"/>
        <v/>
      </c>
      <c r="CA118" s="532" t="str">
        <f t="shared" si="69"/>
        <v/>
      </c>
      <c r="CB118" s="532" t="str">
        <f t="shared" si="52"/>
        <v/>
      </c>
      <c r="CC118" s="532" t="str">
        <f t="shared" si="70"/>
        <v/>
      </c>
      <c r="CD118" s="532" t="str">
        <f t="shared" si="71"/>
        <v/>
      </c>
      <c r="CE118" s="532" t="str">
        <f t="shared" si="53"/>
        <v/>
      </c>
      <c r="CF118" s="533" t="str">
        <f t="shared" si="54"/>
        <v/>
      </c>
      <c r="CG118" s="534" t="str">
        <f t="shared" si="72"/>
        <v/>
      </c>
      <c r="CH118" s="424"/>
      <c r="CI118" s="531" t="str">
        <f t="shared" si="73"/>
        <v/>
      </c>
      <c r="CJ118" s="534" t="str">
        <f t="shared" si="74"/>
        <v/>
      </c>
      <c r="CK118" s="424"/>
      <c r="CL118" s="531" t="str">
        <f t="shared" si="75"/>
        <v/>
      </c>
      <c r="CM118" s="534" t="str">
        <f t="shared" si="76"/>
        <v/>
      </c>
      <c r="CN118" s="424"/>
      <c r="CO118" s="531" t="str">
        <f t="shared" si="55"/>
        <v/>
      </c>
      <c r="CP118" s="532" t="str">
        <f t="shared" si="56"/>
        <v/>
      </c>
      <c r="CQ118" s="534" t="str">
        <f t="shared" si="57"/>
        <v/>
      </c>
      <c r="CR118" s="424"/>
      <c r="CS118" s="531" t="str">
        <f t="shared" si="58"/>
        <v/>
      </c>
      <c r="CT118" s="532" t="str">
        <f t="shared" si="59"/>
        <v/>
      </c>
      <c r="CU118" s="534" t="str">
        <f t="shared" si="60"/>
        <v/>
      </c>
      <c r="CW118" s="535" t="str">
        <f t="shared" si="77"/>
        <v/>
      </c>
      <c r="CX118" s="536">
        <f t="shared" si="78"/>
        <v>0</v>
      </c>
    </row>
    <row r="119" spans="1:102" s="410" customFormat="1" x14ac:dyDescent="0.2">
      <c r="B119" s="169">
        <v>93</v>
      </c>
      <c r="C119" s="517"/>
      <c r="D119" s="518"/>
      <c r="E119" s="519"/>
      <c r="F119" s="518"/>
      <c r="G119" s="518"/>
      <c r="H119" s="518"/>
      <c r="I119" s="518"/>
      <c r="J119" s="519"/>
      <c r="K119" s="520"/>
      <c r="L119" s="520"/>
      <c r="M119" s="520"/>
      <c r="N119" s="521" t="str">
        <f t="shared" si="61"/>
        <v/>
      </c>
      <c r="O119" s="522"/>
      <c r="P119" s="522"/>
      <c r="Q119" s="520"/>
      <c r="R119" s="522"/>
      <c r="S119" s="522"/>
      <c r="T119" s="523"/>
      <c r="U119" s="522"/>
      <c r="V119" s="519"/>
      <c r="W119" s="522"/>
      <c r="X119" s="523"/>
      <c r="Y119" s="522"/>
      <c r="Z119" s="522"/>
      <c r="AA119" s="522"/>
      <c r="AB119" s="522"/>
      <c r="AC119" s="524"/>
      <c r="AD119" s="525"/>
      <c r="AE119" s="525"/>
      <c r="AF119" s="522"/>
      <c r="AG119" s="522"/>
      <c r="AH119" s="522"/>
      <c r="AI119" s="522"/>
      <c r="AJ119" s="522"/>
      <c r="AK119" s="522"/>
      <c r="AL119" s="522"/>
      <c r="AM119" s="526"/>
      <c r="AN119" s="506"/>
      <c r="AO119" s="527" t="str">
        <f t="shared" si="40"/>
        <v/>
      </c>
      <c r="AP119" s="528" t="str">
        <f t="shared" si="62"/>
        <v/>
      </c>
      <c r="AQ119" s="506"/>
      <c r="AR119" s="527" t="str">
        <f t="shared" si="41"/>
        <v/>
      </c>
      <c r="AS119" s="528" t="str">
        <f t="shared" si="63"/>
        <v/>
      </c>
      <c r="AT119" s="506"/>
      <c r="AU119" s="506"/>
      <c r="AV119" s="494"/>
      <c r="AW119" s="169">
        <v>93</v>
      </c>
      <c r="AX119" s="529"/>
      <c r="AY119" s="522"/>
      <c r="AZ119" s="524"/>
      <c r="BA119" s="524"/>
      <c r="BB119" s="524"/>
      <c r="BC119" s="524"/>
      <c r="BD119" s="524"/>
      <c r="BE119" s="524"/>
      <c r="BF119" s="524"/>
      <c r="BG119" s="530"/>
      <c r="BH119" s="424"/>
      <c r="BI119" s="424"/>
      <c r="BJ119" s="531" t="str">
        <f t="shared" si="42"/>
        <v/>
      </c>
      <c r="BK119" s="532" t="str">
        <f t="shared" si="43"/>
        <v/>
      </c>
      <c r="BL119" s="532" t="str">
        <f t="shared" si="64"/>
        <v/>
      </c>
      <c r="BM119" s="532" t="str">
        <f t="shared" si="65"/>
        <v/>
      </c>
      <c r="BN119" s="532" t="str">
        <f t="shared" si="66"/>
        <v/>
      </c>
      <c r="BO119" s="532" t="str">
        <f t="shared" si="44"/>
        <v/>
      </c>
      <c r="BP119" s="532" t="str">
        <f t="shared" si="45"/>
        <v/>
      </c>
      <c r="BQ119" s="532" t="str">
        <f t="shared" si="46"/>
        <v/>
      </c>
      <c r="BR119" s="532" t="str">
        <f t="shared" si="47"/>
        <v/>
      </c>
      <c r="BS119" s="532" t="str">
        <f t="shared" si="48"/>
        <v/>
      </c>
      <c r="BT119" s="532" t="str">
        <f t="shared" si="67"/>
        <v/>
      </c>
      <c r="BU119" s="532" t="str">
        <f t="shared" si="68"/>
        <v/>
      </c>
      <c r="BV119" s="532" t="str">
        <f t="shared" si="49"/>
        <v/>
      </c>
      <c r="BW119" s="532" t="str">
        <f t="shared" si="50"/>
        <v/>
      </c>
      <c r="BX119" s="532" t="str">
        <f t="shared" si="51"/>
        <v/>
      </c>
      <c r="BY119" s="532" t="str">
        <f t="shared" si="51"/>
        <v/>
      </c>
      <c r="BZ119" s="532" t="str">
        <f t="shared" si="51"/>
        <v/>
      </c>
      <c r="CA119" s="532" t="str">
        <f t="shared" si="69"/>
        <v/>
      </c>
      <c r="CB119" s="532" t="str">
        <f t="shared" si="52"/>
        <v/>
      </c>
      <c r="CC119" s="532" t="str">
        <f t="shared" si="70"/>
        <v/>
      </c>
      <c r="CD119" s="532" t="str">
        <f t="shared" si="71"/>
        <v/>
      </c>
      <c r="CE119" s="532" t="str">
        <f t="shared" si="53"/>
        <v/>
      </c>
      <c r="CF119" s="533" t="str">
        <f t="shared" si="54"/>
        <v/>
      </c>
      <c r="CG119" s="534" t="str">
        <f t="shared" si="72"/>
        <v/>
      </c>
      <c r="CH119" s="424"/>
      <c r="CI119" s="531" t="str">
        <f t="shared" si="73"/>
        <v/>
      </c>
      <c r="CJ119" s="534" t="str">
        <f t="shared" si="74"/>
        <v/>
      </c>
      <c r="CK119" s="424"/>
      <c r="CL119" s="531" t="str">
        <f t="shared" si="75"/>
        <v/>
      </c>
      <c r="CM119" s="534" t="str">
        <f t="shared" si="76"/>
        <v/>
      </c>
      <c r="CN119" s="424"/>
      <c r="CO119" s="531" t="str">
        <f t="shared" si="55"/>
        <v/>
      </c>
      <c r="CP119" s="532" t="str">
        <f t="shared" si="56"/>
        <v/>
      </c>
      <c r="CQ119" s="534" t="str">
        <f t="shared" si="57"/>
        <v/>
      </c>
      <c r="CR119" s="424"/>
      <c r="CS119" s="531" t="str">
        <f t="shared" si="58"/>
        <v/>
      </c>
      <c r="CT119" s="532" t="str">
        <f t="shared" si="59"/>
        <v/>
      </c>
      <c r="CU119" s="534" t="str">
        <f t="shared" si="60"/>
        <v/>
      </c>
      <c r="CW119" s="535" t="str">
        <f t="shared" si="77"/>
        <v/>
      </c>
      <c r="CX119" s="536">
        <f t="shared" si="78"/>
        <v>0</v>
      </c>
    </row>
    <row r="120" spans="1:102" s="410" customFormat="1" x14ac:dyDescent="0.2">
      <c r="B120" s="169">
        <v>94</v>
      </c>
      <c r="C120" s="517"/>
      <c r="D120" s="518"/>
      <c r="E120" s="519"/>
      <c r="F120" s="518"/>
      <c r="G120" s="518"/>
      <c r="H120" s="518"/>
      <c r="I120" s="518"/>
      <c r="J120" s="519"/>
      <c r="K120" s="520"/>
      <c r="L120" s="520"/>
      <c r="M120" s="520"/>
      <c r="N120" s="521" t="str">
        <f t="shared" si="61"/>
        <v/>
      </c>
      <c r="O120" s="522"/>
      <c r="P120" s="522"/>
      <c r="Q120" s="520"/>
      <c r="R120" s="522"/>
      <c r="S120" s="522"/>
      <c r="T120" s="523"/>
      <c r="U120" s="522"/>
      <c r="V120" s="519"/>
      <c r="W120" s="522"/>
      <c r="X120" s="523"/>
      <c r="Y120" s="522"/>
      <c r="Z120" s="522"/>
      <c r="AA120" s="522"/>
      <c r="AB120" s="522"/>
      <c r="AC120" s="524"/>
      <c r="AD120" s="525"/>
      <c r="AE120" s="525"/>
      <c r="AF120" s="522"/>
      <c r="AG120" s="522"/>
      <c r="AH120" s="522"/>
      <c r="AI120" s="522"/>
      <c r="AJ120" s="522"/>
      <c r="AK120" s="522"/>
      <c r="AL120" s="522"/>
      <c r="AM120" s="526"/>
      <c r="AN120" s="506"/>
      <c r="AO120" s="527" t="str">
        <f t="shared" si="40"/>
        <v/>
      </c>
      <c r="AP120" s="528" t="str">
        <f t="shared" si="62"/>
        <v/>
      </c>
      <c r="AQ120" s="506"/>
      <c r="AR120" s="527" t="str">
        <f t="shared" si="41"/>
        <v/>
      </c>
      <c r="AS120" s="528" t="str">
        <f t="shared" si="63"/>
        <v/>
      </c>
      <c r="AT120" s="506"/>
      <c r="AU120" s="506"/>
      <c r="AV120" s="494"/>
      <c r="AW120" s="169">
        <v>94</v>
      </c>
      <c r="AX120" s="529"/>
      <c r="AY120" s="522"/>
      <c r="AZ120" s="524"/>
      <c r="BA120" s="524"/>
      <c r="BB120" s="524"/>
      <c r="BC120" s="524"/>
      <c r="BD120" s="524"/>
      <c r="BE120" s="524"/>
      <c r="BF120" s="524"/>
      <c r="BG120" s="530"/>
      <c r="BH120" s="424"/>
      <c r="BI120" s="424"/>
      <c r="BJ120" s="531" t="str">
        <f t="shared" si="42"/>
        <v/>
      </c>
      <c r="BK120" s="532" t="str">
        <f t="shared" si="43"/>
        <v/>
      </c>
      <c r="BL120" s="532" t="str">
        <f t="shared" si="64"/>
        <v/>
      </c>
      <c r="BM120" s="532" t="str">
        <f t="shared" si="65"/>
        <v/>
      </c>
      <c r="BN120" s="532" t="str">
        <f t="shared" si="66"/>
        <v/>
      </c>
      <c r="BO120" s="532" t="str">
        <f t="shared" si="44"/>
        <v/>
      </c>
      <c r="BP120" s="532" t="str">
        <f t="shared" si="45"/>
        <v/>
      </c>
      <c r="BQ120" s="532" t="str">
        <f t="shared" si="46"/>
        <v/>
      </c>
      <c r="BR120" s="532" t="str">
        <f t="shared" si="47"/>
        <v/>
      </c>
      <c r="BS120" s="532" t="str">
        <f t="shared" si="48"/>
        <v/>
      </c>
      <c r="BT120" s="532" t="str">
        <f t="shared" si="67"/>
        <v/>
      </c>
      <c r="BU120" s="532" t="str">
        <f t="shared" si="68"/>
        <v/>
      </c>
      <c r="BV120" s="532" t="str">
        <f t="shared" si="49"/>
        <v/>
      </c>
      <c r="BW120" s="532" t="str">
        <f t="shared" si="50"/>
        <v/>
      </c>
      <c r="BX120" s="532" t="str">
        <f t="shared" si="51"/>
        <v/>
      </c>
      <c r="BY120" s="532" t="str">
        <f t="shared" si="51"/>
        <v/>
      </c>
      <c r="BZ120" s="532" t="str">
        <f t="shared" si="51"/>
        <v/>
      </c>
      <c r="CA120" s="532" t="str">
        <f t="shared" si="69"/>
        <v/>
      </c>
      <c r="CB120" s="532" t="str">
        <f t="shared" si="52"/>
        <v/>
      </c>
      <c r="CC120" s="532" t="str">
        <f t="shared" si="70"/>
        <v/>
      </c>
      <c r="CD120" s="532" t="str">
        <f t="shared" si="71"/>
        <v/>
      </c>
      <c r="CE120" s="532" t="str">
        <f t="shared" si="53"/>
        <v/>
      </c>
      <c r="CF120" s="533" t="str">
        <f t="shared" si="54"/>
        <v/>
      </c>
      <c r="CG120" s="534" t="str">
        <f t="shared" si="72"/>
        <v/>
      </c>
      <c r="CH120" s="424"/>
      <c r="CI120" s="531" t="str">
        <f t="shared" si="73"/>
        <v/>
      </c>
      <c r="CJ120" s="534" t="str">
        <f t="shared" si="74"/>
        <v/>
      </c>
      <c r="CK120" s="424"/>
      <c r="CL120" s="531" t="str">
        <f t="shared" si="75"/>
        <v/>
      </c>
      <c r="CM120" s="534" t="str">
        <f t="shared" si="76"/>
        <v/>
      </c>
      <c r="CN120" s="424"/>
      <c r="CO120" s="531" t="str">
        <f t="shared" si="55"/>
        <v/>
      </c>
      <c r="CP120" s="532" t="str">
        <f t="shared" si="56"/>
        <v/>
      </c>
      <c r="CQ120" s="534" t="str">
        <f t="shared" si="57"/>
        <v/>
      </c>
      <c r="CR120" s="424"/>
      <c r="CS120" s="531" t="str">
        <f t="shared" si="58"/>
        <v/>
      </c>
      <c r="CT120" s="532" t="str">
        <f t="shared" si="59"/>
        <v/>
      </c>
      <c r="CU120" s="534" t="str">
        <f t="shared" si="60"/>
        <v/>
      </c>
      <c r="CW120" s="535" t="str">
        <f t="shared" si="77"/>
        <v/>
      </c>
      <c r="CX120" s="536">
        <f t="shared" si="78"/>
        <v>0</v>
      </c>
    </row>
    <row r="121" spans="1:102" s="410" customFormat="1" x14ac:dyDescent="0.2">
      <c r="B121" s="169">
        <v>95</v>
      </c>
      <c r="C121" s="517"/>
      <c r="D121" s="518"/>
      <c r="E121" s="519"/>
      <c r="F121" s="518"/>
      <c r="G121" s="518"/>
      <c r="H121" s="518"/>
      <c r="I121" s="518"/>
      <c r="J121" s="519"/>
      <c r="K121" s="520"/>
      <c r="L121" s="520"/>
      <c r="M121" s="520"/>
      <c r="N121" s="521" t="str">
        <f t="shared" si="61"/>
        <v/>
      </c>
      <c r="O121" s="522"/>
      <c r="P121" s="522"/>
      <c r="Q121" s="520"/>
      <c r="R121" s="522"/>
      <c r="S121" s="522"/>
      <c r="T121" s="523"/>
      <c r="U121" s="522"/>
      <c r="V121" s="519"/>
      <c r="W121" s="522"/>
      <c r="X121" s="523"/>
      <c r="Y121" s="522"/>
      <c r="Z121" s="522"/>
      <c r="AA121" s="522"/>
      <c r="AB121" s="522"/>
      <c r="AC121" s="524"/>
      <c r="AD121" s="525"/>
      <c r="AE121" s="525"/>
      <c r="AF121" s="522"/>
      <c r="AG121" s="522"/>
      <c r="AH121" s="522"/>
      <c r="AI121" s="522"/>
      <c r="AJ121" s="522"/>
      <c r="AK121" s="522"/>
      <c r="AL121" s="522"/>
      <c r="AM121" s="526"/>
      <c r="AN121" s="506"/>
      <c r="AO121" s="527" t="str">
        <f t="shared" si="40"/>
        <v/>
      </c>
      <c r="AP121" s="528" t="str">
        <f t="shared" si="62"/>
        <v/>
      </c>
      <c r="AQ121" s="506"/>
      <c r="AR121" s="527" t="str">
        <f t="shared" si="41"/>
        <v/>
      </c>
      <c r="AS121" s="528" t="str">
        <f t="shared" si="63"/>
        <v/>
      </c>
      <c r="AT121" s="506"/>
      <c r="AU121" s="506"/>
      <c r="AV121" s="494"/>
      <c r="AW121" s="169">
        <v>95</v>
      </c>
      <c r="AX121" s="529"/>
      <c r="AY121" s="522"/>
      <c r="AZ121" s="524"/>
      <c r="BA121" s="524"/>
      <c r="BB121" s="524"/>
      <c r="BC121" s="524"/>
      <c r="BD121" s="524"/>
      <c r="BE121" s="524"/>
      <c r="BF121" s="524"/>
      <c r="BG121" s="530"/>
      <c r="BH121" s="424"/>
      <c r="BI121" s="424"/>
      <c r="BJ121" s="531" t="str">
        <f t="shared" si="42"/>
        <v/>
      </c>
      <c r="BK121" s="532" t="str">
        <f t="shared" si="43"/>
        <v/>
      </c>
      <c r="BL121" s="532" t="str">
        <f t="shared" si="64"/>
        <v/>
      </c>
      <c r="BM121" s="532" t="str">
        <f t="shared" si="65"/>
        <v/>
      </c>
      <c r="BN121" s="532" t="str">
        <f t="shared" si="66"/>
        <v/>
      </c>
      <c r="BO121" s="532" t="str">
        <f t="shared" si="44"/>
        <v/>
      </c>
      <c r="BP121" s="532" t="str">
        <f t="shared" si="45"/>
        <v/>
      </c>
      <c r="BQ121" s="532" t="str">
        <f t="shared" si="46"/>
        <v/>
      </c>
      <c r="BR121" s="532" t="str">
        <f t="shared" si="47"/>
        <v/>
      </c>
      <c r="BS121" s="532" t="str">
        <f t="shared" si="48"/>
        <v/>
      </c>
      <c r="BT121" s="532" t="str">
        <f t="shared" si="67"/>
        <v/>
      </c>
      <c r="BU121" s="532" t="str">
        <f t="shared" si="68"/>
        <v/>
      </c>
      <c r="BV121" s="532" t="str">
        <f t="shared" si="49"/>
        <v/>
      </c>
      <c r="BW121" s="532" t="str">
        <f t="shared" si="50"/>
        <v/>
      </c>
      <c r="BX121" s="532" t="str">
        <f t="shared" si="51"/>
        <v/>
      </c>
      <c r="BY121" s="532" t="str">
        <f t="shared" si="51"/>
        <v/>
      </c>
      <c r="BZ121" s="532" t="str">
        <f t="shared" si="51"/>
        <v/>
      </c>
      <c r="CA121" s="532" t="str">
        <f t="shared" si="69"/>
        <v/>
      </c>
      <c r="CB121" s="532" t="str">
        <f t="shared" si="52"/>
        <v/>
      </c>
      <c r="CC121" s="532" t="str">
        <f t="shared" si="70"/>
        <v/>
      </c>
      <c r="CD121" s="532" t="str">
        <f t="shared" si="71"/>
        <v/>
      </c>
      <c r="CE121" s="532" t="str">
        <f t="shared" si="53"/>
        <v/>
      </c>
      <c r="CF121" s="533" t="str">
        <f t="shared" si="54"/>
        <v/>
      </c>
      <c r="CG121" s="534" t="str">
        <f t="shared" si="72"/>
        <v/>
      </c>
      <c r="CH121" s="424"/>
      <c r="CI121" s="531" t="str">
        <f t="shared" si="73"/>
        <v/>
      </c>
      <c r="CJ121" s="534" t="str">
        <f t="shared" si="74"/>
        <v/>
      </c>
      <c r="CK121" s="424"/>
      <c r="CL121" s="531" t="str">
        <f t="shared" si="75"/>
        <v/>
      </c>
      <c r="CM121" s="534" t="str">
        <f t="shared" si="76"/>
        <v/>
      </c>
      <c r="CN121" s="424"/>
      <c r="CO121" s="531" t="str">
        <f t="shared" si="55"/>
        <v/>
      </c>
      <c r="CP121" s="532" t="str">
        <f t="shared" si="56"/>
        <v/>
      </c>
      <c r="CQ121" s="534" t="str">
        <f t="shared" si="57"/>
        <v/>
      </c>
      <c r="CR121" s="424"/>
      <c r="CS121" s="531" t="str">
        <f t="shared" si="58"/>
        <v/>
      </c>
      <c r="CT121" s="532" t="str">
        <f t="shared" si="59"/>
        <v/>
      </c>
      <c r="CU121" s="534" t="str">
        <f t="shared" si="60"/>
        <v/>
      </c>
      <c r="CW121" s="535" t="str">
        <f t="shared" si="77"/>
        <v/>
      </c>
      <c r="CX121" s="536">
        <f t="shared" si="78"/>
        <v>0</v>
      </c>
    </row>
    <row r="122" spans="1:102" s="410" customFormat="1" x14ac:dyDescent="0.2">
      <c r="B122" s="169">
        <v>96</v>
      </c>
      <c r="C122" s="517"/>
      <c r="D122" s="518"/>
      <c r="E122" s="519"/>
      <c r="F122" s="518"/>
      <c r="G122" s="518"/>
      <c r="H122" s="518"/>
      <c r="I122" s="518"/>
      <c r="J122" s="519"/>
      <c r="K122" s="520"/>
      <c r="L122" s="520"/>
      <c r="M122" s="520"/>
      <c r="N122" s="521" t="str">
        <f t="shared" si="61"/>
        <v/>
      </c>
      <c r="O122" s="522"/>
      <c r="P122" s="522"/>
      <c r="Q122" s="520"/>
      <c r="R122" s="522"/>
      <c r="S122" s="522"/>
      <c r="T122" s="523"/>
      <c r="U122" s="522"/>
      <c r="V122" s="519"/>
      <c r="W122" s="522"/>
      <c r="X122" s="523"/>
      <c r="Y122" s="522"/>
      <c r="Z122" s="522"/>
      <c r="AA122" s="522"/>
      <c r="AB122" s="522"/>
      <c r="AC122" s="524"/>
      <c r="AD122" s="525"/>
      <c r="AE122" s="525"/>
      <c r="AF122" s="522"/>
      <c r="AG122" s="522"/>
      <c r="AH122" s="522"/>
      <c r="AI122" s="522"/>
      <c r="AJ122" s="522"/>
      <c r="AK122" s="522"/>
      <c r="AL122" s="522"/>
      <c r="AM122" s="526"/>
      <c r="AN122" s="506"/>
      <c r="AO122" s="527" t="str">
        <f t="shared" si="40"/>
        <v/>
      </c>
      <c r="AP122" s="528" t="str">
        <f t="shared" si="62"/>
        <v/>
      </c>
      <c r="AQ122" s="506"/>
      <c r="AR122" s="527" t="str">
        <f t="shared" si="41"/>
        <v/>
      </c>
      <c r="AS122" s="528" t="str">
        <f t="shared" si="63"/>
        <v/>
      </c>
      <c r="AT122" s="506"/>
      <c r="AU122" s="506"/>
      <c r="AV122" s="494"/>
      <c r="AW122" s="169">
        <v>96</v>
      </c>
      <c r="AX122" s="529"/>
      <c r="AY122" s="522"/>
      <c r="AZ122" s="524"/>
      <c r="BA122" s="524"/>
      <c r="BB122" s="524"/>
      <c r="BC122" s="524"/>
      <c r="BD122" s="524"/>
      <c r="BE122" s="524"/>
      <c r="BF122" s="524"/>
      <c r="BG122" s="530"/>
      <c r="BH122" s="424"/>
      <c r="BI122" s="424"/>
      <c r="BJ122" s="531" t="str">
        <f t="shared" si="42"/>
        <v/>
      </c>
      <c r="BK122" s="532" t="str">
        <f t="shared" si="43"/>
        <v/>
      </c>
      <c r="BL122" s="532" t="str">
        <f t="shared" si="64"/>
        <v/>
      </c>
      <c r="BM122" s="532" t="str">
        <f t="shared" si="65"/>
        <v/>
      </c>
      <c r="BN122" s="532" t="str">
        <f t="shared" si="66"/>
        <v/>
      </c>
      <c r="BO122" s="532" t="str">
        <f t="shared" si="44"/>
        <v/>
      </c>
      <c r="BP122" s="532" t="str">
        <f t="shared" si="45"/>
        <v/>
      </c>
      <c r="BQ122" s="532" t="str">
        <f t="shared" si="46"/>
        <v/>
      </c>
      <c r="BR122" s="532" t="str">
        <f t="shared" si="47"/>
        <v/>
      </c>
      <c r="BS122" s="532" t="str">
        <f t="shared" si="48"/>
        <v/>
      </c>
      <c r="BT122" s="532" t="str">
        <f t="shared" si="67"/>
        <v/>
      </c>
      <c r="BU122" s="532" t="str">
        <f t="shared" si="68"/>
        <v/>
      </c>
      <c r="BV122" s="532" t="str">
        <f t="shared" si="49"/>
        <v/>
      </c>
      <c r="BW122" s="532" t="str">
        <f t="shared" si="50"/>
        <v/>
      </c>
      <c r="BX122" s="532" t="str">
        <f t="shared" si="51"/>
        <v/>
      </c>
      <c r="BY122" s="532" t="str">
        <f t="shared" si="51"/>
        <v/>
      </c>
      <c r="BZ122" s="532" t="str">
        <f t="shared" si="51"/>
        <v/>
      </c>
      <c r="CA122" s="532" t="str">
        <f t="shared" si="69"/>
        <v/>
      </c>
      <c r="CB122" s="532" t="str">
        <f t="shared" si="52"/>
        <v/>
      </c>
      <c r="CC122" s="532" t="str">
        <f t="shared" si="70"/>
        <v/>
      </c>
      <c r="CD122" s="532" t="str">
        <f t="shared" si="71"/>
        <v/>
      </c>
      <c r="CE122" s="532" t="str">
        <f t="shared" si="53"/>
        <v/>
      </c>
      <c r="CF122" s="533" t="str">
        <f t="shared" si="54"/>
        <v/>
      </c>
      <c r="CG122" s="534" t="str">
        <f t="shared" si="72"/>
        <v/>
      </c>
      <c r="CH122" s="424"/>
      <c r="CI122" s="531" t="str">
        <f t="shared" si="73"/>
        <v/>
      </c>
      <c r="CJ122" s="534" t="str">
        <f t="shared" si="74"/>
        <v/>
      </c>
      <c r="CK122" s="424"/>
      <c r="CL122" s="531" t="str">
        <f t="shared" si="75"/>
        <v/>
      </c>
      <c r="CM122" s="534" t="str">
        <f t="shared" si="76"/>
        <v/>
      </c>
      <c r="CN122" s="424"/>
      <c r="CO122" s="531" t="str">
        <f t="shared" si="55"/>
        <v/>
      </c>
      <c r="CP122" s="532" t="str">
        <f t="shared" si="56"/>
        <v/>
      </c>
      <c r="CQ122" s="534" t="str">
        <f t="shared" si="57"/>
        <v/>
      </c>
      <c r="CR122" s="424"/>
      <c r="CS122" s="531" t="str">
        <f t="shared" si="58"/>
        <v/>
      </c>
      <c r="CT122" s="532" t="str">
        <f t="shared" si="59"/>
        <v/>
      </c>
      <c r="CU122" s="534" t="str">
        <f t="shared" si="60"/>
        <v/>
      </c>
      <c r="CW122" s="535" t="str">
        <f t="shared" si="77"/>
        <v/>
      </c>
      <c r="CX122" s="536">
        <f t="shared" si="78"/>
        <v>0</v>
      </c>
    </row>
    <row r="123" spans="1:102" s="410" customFormat="1" x14ac:dyDescent="0.2">
      <c r="B123" s="169">
        <v>97</v>
      </c>
      <c r="C123" s="517"/>
      <c r="D123" s="518"/>
      <c r="E123" s="519"/>
      <c r="F123" s="518"/>
      <c r="G123" s="518"/>
      <c r="H123" s="518"/>
      <c r="I123" s="518"/>
      <c r="J123" s="519"/>
      <c r="K123" s="520"/>
      <c r="L123" s="520"/>
      <c r="M123" s="520"/>
      <c r="N123" s="521" t="str">
        <f t="shared" si="61"/>
        <v/>
      </c>
      <c r="O123" s="522"/>
      <c r="P123" s="522"/>
      <c r="Q123" s="520"/>
      <c r="R123" s="522"/>
      <c r="S123" s="522"/>
      <c r="T123" s="523"/>
      <c r="U123" s="522"/>
      <c r="V123" s="519"/>
      <c r="W123" s="522"/>
      <c r="X123" s="523"/>
      <c r="Y123" s="522"/>
      <c r="Z123" s="522"/>
      <c r="AA123" s="522"/>
      <c r="AB123" s="522"/>
      <c r="AC123" s="524"/>
      <c r="AD123" s="525"/>
      <c r="AE123" s="525"/>
      <c r="AF123" s="522"/>
      <c r="AG123" s="522"/>
      <c r="AH123" s="522"/>
      <c r="AI123" s="522"/>
      <c r="AJ123" s="522"/>
      <c r="AK123" s="522"/>
      <c r="AL123" s="522"/>
      <c r="AM123" s="526"/>
      <c r="AN123" s="506"/>
      <c r="AO123" s="527" t="str">
        <f t="shared" si="40"/>
        <v/>
      </c>
      <c r="AP123" s="528" t="str">
        <f t="shared" si="62"/>
        <v/>
      </c>
      <c r="AQ123" s="506"/>
      <c r="AR123" s="527" t="str">
        <f t="shared" si="41"/>
        <v/>
      </c>
      <c r="AS123" s="528" t="str">
        <f t="shared" si="63"/>
        <v/>
      </c>
      <c r="AT123" s="506"/>
      <c r="AU123" s="506"/>
      <c r="AV123" s="494"/>
      <c r="AW123" s="169">
        <v>97</v>
      </c>
      <c r="AX123" s="529"/>
      <c r="AY123" s="522"/>
      <c r="AZ123" s="524"/>
      <c r="BA123" s="524"/>
      <c r="BB123" s="524"/>
      <c r="BC123" s="524"/>
      <c r="BD123" s="524"/>
      <c r="BE123" s="524"/>
      <c r="BF123" s="524"/>
      <c r="BG123" s="530"/>
      <c r="BH123" s="424"/>
      <c r="BI123" s="424"/>
      <c r="BJ123" s="531" t="str">
        <f t="shared" si="42"/>
        <v/>
      </c>
      <c r="BK123" s="532" t="str">
        <f t="shared" si="43"/>
        <v/>
      </c>
      <c r="BL123" s="532" t="str">
        <f t="shared" si="64"/>
        <v/>
      </c>
      <c r="BM123" s="532" t="str">
        <f t="shared" si="65"/>
        <v/>
      </c>
      <c r="BN123" s="532" t="str">
        <f t="shared" si="66"/>
        <v/>
      </c>
      <c r="BO123" s="532" t="str">
        <f t="shared" si="44"/>
        <v/>
      </c>
      <c r="BP123" s="532" t="str">
        <f t="shared" si="45"/>
        <v/>
      </c>
      <c r="BQ123" s="532" t="str">
        <f t="shared" si="46"/>
        <v/>
      </c>
      <c r="BR123" s="532" t="str">
        <f t="shared" si="47"/>
        <v/>
      </c>
      <c r="BS123" s="532" t="str">
        <f t="shared" si="48"/>
        <v/>
      </c>
      <c r="BT123" s="532" t="str">
        <f t="shared" si="67"/>
        <v/>
      </c>
      <c r="BU123" s="532" t="str">
        <f t="shared" si="68"/>
        <v/>
      </c>
      <c r="BV123" s="532" t="str">
        <f t="shared" si="49"/>
        <v/>
      </c>
      <c r="BW123" s="532" t="str">
        <f t="shared" si="50"/>
        <v/>
      </c>
      <c r="BX123" s="532" t="str">
        <f t="shared" si="51"/>
        <v/>
      </c>
      <c r="BY123" s="532" t="str">
        <f t="shared" si="51"/>
        <v/>
      </c>
      <c r="BZ123" s="532" t="str">
        <f t="shared" si="51"/>
        <v/>
      </c>
      <c r="CA123" s="532" t="str">
        <f t="shared" si="69"/>
        <v/>
      </c>
      <c r="CB123" s="532" t="str">
        <f t="shared" si="52"/>
        <v/>
      </c>
      <c r="CC123" s="532" t="str">
        <f t="shared" si="70"/>
        <v/>
      </c>
      <c r="CD123" s="532" t="str">
        <f t="shared" si="71"/>
        <v/>
      </c>
      <c r="CE123" s="532" t="str">
        <f t="shared" si="53"/>
        <v/>
      </c>
      <c r="CF123" s="533" t="str">
        <f t="shared" si="54"/>
        <v/>
      </c>
      <c r="CG123" s="534" t="str">
        <f t="shared" si="72"/>
        <v/>
      </c>
      <c r="CH123" s="424"/>
      <c r="CI123" s="531" t="str">
        <f t="shared" si="73"/>
        <v/>
      </c>
      <c r="CJ123" s="534" t="str">
        <f t="shared" si="74"/>
        <v/>
      </c>
      <c r="CK123" s="424"/>
      <c r="CL123" s="531" t="str">
        <f t="shared" si="75"/>
        <v/>
      </c>
      <c r="CM123" s="534" t="str">
        <f t="shared" si="76"/>
        <v/>
      </c>
      <c r="CN123" s="424"/>
      <c r="CO123" s="531" t="str">
        <f t="shared" si="55"/>
        <v/>
      </c>
      <c r="CP123" s="532" t="str">
        <f t="shared" si="56"/>
        <v/>
      </c>
      <c r="CQ123" s="534" t="str">
        <f t="shared" si="57"/>
        <v/>
      </c>
      <c r="CR123" s="424"/>
      <c r="CS123" s="531" t="str">
        <f t="shared" si="58"/>
        <v/>
      </c>
      <c r="CT123" s="532" t="str">
        <f t="shared" si="59"/>
        <v/>
      </c>
      <c r="CU123" s="534" t="str">
        <f t="shared" si="60"/>
        <v/>
      </c>
      <c r="CW123" s="535" t="str">
        <f t="shared" si="77"/>
        <v/>
      </c>
      <c r="CX123" s="536">
        <f t="shared" si="78"/>
        <v>0</v>
      </c>
    </row>
    <row r="124" spans="1:102" s="410" customFormat="1" x14ac:dyDescent="0.2">
      <c r="B124" s="169">
        <v>98</v>
      </c>
      <c r="C124" s="517"/>
      <c r="D124" s="518"/>
      <c r="E124" s="519"/>
      <c r="F124" s="518"/>
      <c r="G124" s="518"/>
      <c r="H124" s="518"/>
      <c r="I124" s="518"/>
      <c r="J124" s="519"/>
      <c r="K124" s="520"/>
      <c r="L124" s="520"/>
      <c r="M124" s="520"/>
      <c r="N124" s="521" t="str">
        <f t="shared" si="61"/>
        <v/>
      </c>
      <c r="O124" s="522"/>
      <c r="P124" s="522"/>
      <c r="Q124" s="520"/>
      <c r="R124" s="522"/>
      <c r="S124" s="522"/>
      <c r="T124" s="523"/>
      <c r="U124" s="522"/>
      <c r="V124" s="519"/>
      <c r="W124" s="522"/>
      <c r="X124" s="523"/>
      <c r="Y124" s="522"/>
      <c r="Z124" s="522"/>
      <c r="AA124" s="522"/>
      <c r="AB124" s="522"/>
      <c r="AC124" s="524"/>
      <c r="AD124" s="525"/>
      <c r="AE124" s="525"/>
      <c r="AF124" s="522"/>
      <c r="AG124" s="522"/>
      <c r="AH124" s="522"/>
      <c r="AI124" s="522"/>
      <c r="AJ124" s="522"/>
      <c r="AK124" s="522"/>
      <c r="AL124" s="522"/>
      <c r="AM124" s="526"/>
      <c r="AN124" s="506"/>
      <c r="AO124" s="527" t="str">
        <f t="shared" si="40"/>
        <v/>
      </c>
      <c r="AP124" s="528" t="str">
        <f t="shared" si="62"/>
        <v/>
      </c>
      <c r="AQ124" s="506"/>
      <c r="AR124" s="527" t="str">
        <f t="shared" si="41"/>
        <v/>
      </c>
      <c r="AS124" s="528" t="str">
        <f t="shared" si="63"/>
        <v/>
      </c>
      <c r="AT124" s="506"/>
      <c r="AU124" s="506"/>
      <c r="AV124" s="494"/>
      <c r="AW124" s="169">
        <v>98</v>
      </c>
      <c r="AX124" s="529"/>
      <c r="AY124" s="522"/>
      <c r="AZ124" s="524"/>
      <c r="BA124" s="524"/>
      <c r="BB124" s="524"/>
      <c r="BC124" s="524"/>
      <c r="BD124" s="524"/>
      <c r="BE124" s="524"/>
      <c r="BF124" s="524"/>
      <c r="BG124" s="530"/>
      <c r="BH124" s="424"/>
      <c r="BI124" s="424"/>
      <c r="BJ124" s="531" t="str">
        <f t="shared" si="42"/>
        <v/>
      </c>
      <c r="BK124" s="532" t="str">
        <f t="shared" si="43"/>
        <v/>
      </c>
      <c r="BL124" s="532" t="str">
        <f t="shared" si="64"/>
        <v/>
      </c>
      <c r="BM124" s="532" t="str">
        <f t="shared" si="65"/>
        <v/>
      </c>
      <c r="BN124" s="532" t="str">
        <f t="shared" si="66"/>
        <v/>
      </c>
      <c r="BO124" s="532" t="str">
        <f t="shared" si="44"/>
        <v/>
      </c>
      <c r="BP124" s="532" t="str">
        <f t="shared" si="45"/>
        <v/>
      </c>
      <c r="BQ124" s="532" t="str">
        <f t="shared" si="46"/>
        <v/>
      </c>
      <c r="BR124" s="532" t="str">
        <f t="shared" si="47"/>
        <v/>
      </c>
      <c r="BS124" s="532" t="str">
        <f t="shared" si="48"/>
        <v/>
      </c>
      <c r="BT124" s="532" t="str">
        <f t="shared" si="67"/>
        <v/>
      </c>
      <c r="BU124" s="532" t="str">
        <f t="shared" si="68"/>
        <v/>
      </c>
      <c r="BV124" s="532" t="str">
        <f t="shared" si="49"/>
        <v/>
      </c>
      <c r="BW124" s="532" t="str">
        <f t="shared" si="50"/>
        <v/>
      </c>
      <c r="BX124" s="532" t="str">
        <f t="shared" si="51"/>
        <v/>
      </c>
      <c r="BY124" s="532" t="str">
        <f t="shared" si="51"/>
        <v/>
      </c>
      <c r="BZ124" s="532" t="str">
        <f t="shared" si="51"/>
        <v/>
      </c>
      <c r="CA124" s="532" t="str">
        <f t="shared" si="69"/>
        <v/>
      </c>
      <c r="CB124" s="532" t="str">
        <f t="shared" si="52"/>
        <v/>
      </c>
      <c r="CC124" s="532" t="str">
        <f t="shared" si="70"/>
        <v/>
      </c>
      <c r="CD124" s="532" t="str">
        <f t="shared" si="71"/>
        <v/>
      </c>
      <c r="CE124" s="532" t="str">
        <f t="shared" si="53"/>
        <v/>
      </c>
      <c r="CF124" s="533" t="str">
        <f t="shared" si="54"/>
        <v/>
      </c>
      <c r="CG124" s="534" t="str">
        <f t="shared" si="72"/>
        <v/>
      </c>
      <c r="CH124" s="424"/>
      <c r="CI124" s="531" t="str">
        <f t="shared" si="73"/>
        <v/>
      </c>
      <c r="CJ124" s="534" t="str">
        <f t="shared" si="74"/>
        <v/>
      </c>
      <c r="CK124" s="424"/>
      <c r="CL124" s="531" t="str">
        <f t="shared" si="75"/>
        <v/>
      </c>
      <c r="CM124" s="534" t="str">
        <f t="shared" si="76"/>
        <v/>
      </c>
      <c r="CN124" s="424"/>
      <c r="CO124" s="531" t="str">
        <f t="shared" si="55"/>
        <v/>
      </c>
      <c r="CP124" s="532" t="str">
        <f t="shared" si="56"/>
        <v/>
      </c>
      <c r="CQ124" s="534" t="str">
        <f t="shared" si="57"/>
        <v/>
      </c>
      <c r="CR124" s="424"/>
      <c r="CS124" s="531" t="str">
        <f t="shared" si="58"/>
        <v/>
      </c>
      <c r="CT124" s="532" t="str">
        <f t="shared" si="59"/>
        <v/>
      </c>
      <c r="CU124" s="534" t="str">
        <f t="shared" si="60"/>
        <v/>
      </c>
      <c r="CW124" s="535" t="str">
        <f t="shared" si="77"/>
        <v/>
      </c>
      <c r="CX124" s="536">
        <f t="shared" si="78"/>
        <v>0</v>
      </c>
    </row>
    <row r="125" spans="1:102" s="410" customFormat="1" x14ac:dyDescent="0.2">
      <c r="B125" s="169">
        <v>99</v>
      </c>
      <c r="C125" s="517"/>
      <c r="D125" s="518"/>
      <c r="E125" s="519"/>
      <c r="F125" s="518"/>
      <c r="G125" s="518"/>
      <c r="H125" s="518"/>
      <c r="I125" s="518"/>
      <c r="J125" s="519"/>
      <c r="K125" s="520"/>
      <c r="L125" s="520"/>
      <c r="M125" s="520"/>
      <c r="N125" s="521" t="str">
        <f t="shared" si="61"/>
        <v/>
      </c>
      <c r="O125" s="522"/>
      <c r="P125" s="522"/>
      <c r="Q125" s="520"/>
      <c r="R125" s="522"/>
      <c r="S125" s="522"/>
      <c r="T125" s="523"/>
      <c r="U125" s="522"/>
      <c r="V125" s="519"/>
      <c r="W125" s="522"/>
      <c r="X125" s="523"/>
      <c r="Y125" s="522"/>
      <c r="Z125" s="522"/>
      <c r="AA125" s="522"/>
      <c r="AB125" s="522"/>
      <c r="AC125" s="524"/>
      <c r="AD125" s="525"/>
      <c r="AE125" s="525"/>
      <c r="AF125" s="522"/>
      <c r="AG125" s="522"/>
      <c r="AH125" s="522"/>
      <c r="AI125" s="522"/>
      <c r="AJ125" s="522"/>
      <c r="AK125" s="522"/>
      <c r="AL125" s="522"/>
      <c r="AM125" s="526"/>
      <c r="AN125" s="506"/>
      <c r="AO125" s="527" t="str">
        <f t="shared" si="40"/>
        <v/>
      </c>
      <c r="AP125" s="528" t="str">
        <f t="shared" si="62"/>
        <v/>
      </c>
      <c r="AQ125" s="506"/>
      <c r="AR125" s="527" t="str">
        <f t="shared" si="41"/>
        <v/>
      </c>
      <c r="AS125" s="528" t="str">
        <f t="shared" si="63"/>
        <v/>
      </c>
      <c r="AT125" s="506"/>
      <c r="AU125" s="506"/>
      <c r="AV125" s="494"/>
      <c r="AW125" s="169">
        <v>99</v>
      </c>
      <c r="AX125" s="529"/>
      <c r="AY125" s="522"/>
      <c r="AZ125" s="524"/>
      <c r="BA125" s="524"/>
      <c r="BB125" s="524"/>
      <c r="BC125" s="524"/>
      <c r="BD125" s="524"/>
      <c r="BE125" s="524"/>
      <c r="BF125" s="524"/>
      <c r="BG125" s="530"/>
      <c r="BH125" s="424"/>
      <c r="BI125" s="424"/>
      <c r="BJ125" s="531" t="str">
        <f t="shared" si="42"/>
        <v/>
      </c>
      <c r="BK125" s="532" t="str">
        <f t="shared" si="43"/>
        <v/>
      </c>
      <c r="BL125" s="532" t="str">
        <f t="shared" si="64"/>
        <v/>
      </c>
      <c r="BM125" s="532" t="str">
        <f t="shared" si="65"/>
        <v/>
      </c>
      <c r="BN125" s="532" t="str">
        <f t="shared" si="66"/>
        <v/>
      </c>
      <c r="BO125" s="532" t="str">
        <f t="shared" si="44"/>
        <v/>
      </c>
      <c r="BP125" s="532" t="str">
        <f t="shared" si="45"/>
        <v/>
      </c>
      <c r="BQ125" s="532" t="str">
        <f t="shared" si="46"/>
        <v/>
      </c>
      <c r="BR125" s="532" t="str">
        <f t="shared" si="47"/>
        <v/>
      </c>
      <c r="BS125" s="532" t="str">
        <f t="shared" si="48"/>
        <v/>
      </c>
      <c r="BT125" s="532" t="str">
        <f t="shared" si="67"/>
        <v/>
      </c>
      <c r="BU125" s="532" t="str">
        <f t="shared" si="68"/>
        <v/>
      </c>
      <c r="BV125" s="532" t="str">
        <f t="shared" si="49"/>
        <v/>
      </c>
      <c r="BW125" s="532" t="str">
        <f t="shared" si="50"/>
        <v/>
      </c>
      <c r="BX125" s="532" t="str">
        <f t="shared" si="51"/>
        <v/>
      </c>
      <c r="BY125" s="532" t="str">
        <f t="shared" si="51"/>
        <v/>
      </c>
      <c r="BZ125" s="532" t="str">
        <f t="shared" si="51"/>
        <v/>
      </c>
      <c r="CA125" s="532" t="str">
        <f t="shared" si="69"/>
        <v/>
      </c>
      <c r="CB125" s="532" t="str">
        <f t="shared" si="52"/>
        <v/>
      </c>
      <c r="CC125" s="532" t="str">
        <f t="shared" si="70"/>
        <v/>
      </c>
      <c r="CD125" s="532" t="str">
        <f t="shared" si="71"/>
        <v/>
      </c>
      <c r="CE125" s="532" t="str">
        <f t="shared" si="53"/>
        <v/>
      </c>
      <c r="CF125" s="533" t="str">
        <f t="shared" si="54"/>
        <v/>
      </c>
      <c r="CG125" s="534" t="str">
        <f t="shared" si="72"/>
        <v/>
      </c>
      <c r="CH125" s="424"/>
      <c r="CI125" s="531" t="str">
        <f t="shared" si="73"/>
        <v/>
      </c>
      <c r="CJ125" s="534" t="str">
        <f t="shared" si="74"/>
        <v/>
      </c>
      <c r="CK125" s="424"/>
      <c r="CL125" s="531" t="str">
        <f t="shared" si="75"/>
        <v/>
      </c>
      <c r="CM125" s="534" t="str">
        <f t="shared" si="76"/>
        <v/>
      </c>
      <c r="CN125" s="424"/>
      <c r="CO125" s="531" t="str">
        <f t="shared" si="55"/>
        <v/>
      </c>
      <c r="CP125" s="532" t="str">
        <f t="shared" si="56"/>
        <v/>
      </c>
      <c r="CQ125" s="534" t="str">
        <f t="shared" si="57"/>
        <v/>
      </c>
      <c r="CR125" s="424"/>
      <c r="CS125" s="531" t="str">
        <f t="shared" si="58"/>
        <v/>
      </c>
      <c r="CT125" s="532" t="str">
        <f t="shared" si="59"/>
        <v/>
      </c>
      <c r="CU125" s="534" t="str">
        <f t="shared" si="60"/>
        <v/>
      </c>
      <c r="CW125" s="535" t="str">
        <f t="shared" si="77"/>
        <v/>
      </c>
      <c r="CX125" s="536">
        <f t="shared" si="78"/>
        <v>0</v>
      </c>
    </row>
    <row r="126" spans="1:102" s="410" customFormat="1" x14ac:dyDescent="0.2">
      <c r="B126" s="169">
        <v>100</v>
      </c>
      <c r="C126" s="537"/>
      <c r="D126" s="538"/>
      <c r="E126" s="539"/>
      <c r="F126" s="538"/>
      <c r="G126" s="538"/>
      <c r="H126" s="538"/>
      <c r="I126" s="538"/>
      <c r="J126" s="539"/>
      <c r="K126" s="540"/>
      <c r="L126" s="540"/>
      <c r="M126" s="540"/>
      <c r="N126" s="541" t="str">
        <f t="shared" si="61"/>
        <v/>
      </c>
      <c r="O126" s="542"/>
      <c r="P126" s="542"/>
      <c r="Q126" s="540"/>
      <c r="R126" s="542"/>
      <c r="S126" s="542"/>
      <c r="T126" s="543"/>
      <c r="U126" s="542"/>
      <c r="V126" s="539"/>
      <c r="W126" s="542"/>
      <c r="X126" s="543"/>
      <c r="Y126" s="542"/>
      <c r="Z126" s="542"/>
      <c r="AA126" s="542"/>
      <c r="AB126" s="542"/>
      <c r="AC126" s="544"/>
      <c r="AD126" s="545"/>
      <c r="AE126" s="545"/>
      <c r="AF126" s="542"/>
      <c r="AG126" s="542"/>
      <c r="AH126" s="542"/>
      <c r="AI126" s="542"/>
      <c r="AJ126" s="542"/>
      <c r="AK126" s="542"/>
      <c r="AL126" s="542"/>
      <c r="AM126" s="546"/>
      <c r="AN126" s="506"/>
      <c r="AO126" s="547" t="str">
        <f t="shared" si="40"/>
        <v/>
      </c>
      <c r="AP126" s="548" t="str">
        <f t="shared" si="62"/>
        <v/>
      </c>
      <c r="AQ126" s="506"/>
      <c r="AR126" s="547" t="str">
        <f t="shared" si="41"/>
        <v/>
      </c>
      <c r="AS126" s="548" t="str">
        <f t="shared" si="63"/>
        <v/>
      </c>
      <c r="AT126" s="506"/>
      <c r="AU126" s="506"/>
      <c r="AV126" s="494"/>
      <c r="AW126" s="169">
        <v>100</v>
      </c>
      <c r="AX126" s="549"/>
      <c r="AY126" s="542"/>
      <c r="AZ126" s="544"/>
      <c r="BA126" s="544"/>
      <c r="BB126" s="544"/>
      <c r="BC126" s="544"/>
      <c r="BD126" s="544"/>
      <c r="BE126" s="544"/>
      <c r="BF126" s="544"/>
      <c r="BG126" s="550"/>
      <c r="BH126" s="424"/>
      <c r="BI126" s="424"/>
      <c r="BJ126" s="551" t="str">
        <f t="shared" si="42"/>
        <v/>
      </c>
      <c r="BK126" s="552" t="str">
        <f t="shared" si="43"/>
        <v/>
      </c>
      <c r="BL126" s="552" t="str">
        <f t="shared" si="64"/>
        <v/>
      </c>
      <c r="BM126" s="552" t="str">
        <f t="shared" si="65"/>
        <v/>
      </c>
      <c r="BN126" s="552" t="str">
        <f t="shared" si="66"/>
        <v/>
      </c>
      <c r="BO126" s="552" t="str">
        <f t="shared" si="44"/>
        <v/>
      </c>
      <c r="BP126" s="552" t="str">
        <f t="shared" si="45"/>
        <v/>
      </c>
      <c r="BQ126" s="552" t="str">
        <f t="shared" si="46"/>
        <v/>
      </c>
      <c r="BR126" s="552" t="str">
        <f t="shared" si="47"/>
        <v/>
      </c>
      <c r="BS126" s="552" t="str">
        <f t="shared" si="48"/>
        <v/>
      </c>
      <c r="BT126" s="552" t="str">
        <f t="shared" si="67"/>
        <v/>
      </c>
      <c r="BU126" s="552" t="str">
        <f t="shared" si="68"/>
        <v/>
      </c>
      <c r="BV126" s="552" t="str">
        <f t="shared" si="49"/>
        <v/>
      </c>
      <c r="BW126" s="552" t="str">
        <f t="shared" si="50"/>
        <v/>
      </c>
      <c r="BX126" s="552" t="str">
        <f t="shared" si="51"/>
        <v/>
      </c>
      <c r="BY126" s="552" t="str">
        <f t="shared" si="51"/>
        <v/>
      </c>
      <c r="BZ126" s="552" t="str">
        <f t="shared" si="51"/>
        <v/>
      </c>
      <c r="CA126" s="552" t="str">
        <f t="shared" si="69"/>
        <v/>
      </c>
      <c r="CB126" s="552" t="str">
        <f t="shared" si="52"/>
        <v/>
      </c>
      <c r="CC126" s="552" t="str">
        <f t="shared" si="70"/>
        <v/>
      </c>
      <c r="CD126" s="552" t="str">
        <f t="shared" si="71"/>
        <v/>
      </c>
      <c r="CE126" s="552" t="str">
        <f t="shared" si="53"/>
        <v/>
      </c>
      <c r="CF126" s="553" t="str">
        <f t="shared" si="54"/>
        <v/>
      </c>
      <c r="CG126" s="554" t="str">
        <f t="shared" si="72"/>
        <v/>
      </c>
      <c r="CH126" s="424"/>
      <c r="CI126" s="551" t="str">
        <f t="shared" si="73"/>
        <v/>
      </c>
      <c r="CJ126" s="554" t="str">
        <f t="shared" si="74"/>
        <v/>
      </c>
      <c r="CK126" s="424"/>
      <c r="CL126" s="551" t="str">
        <f t="shared" si="75"/>
        <v/>
      </c>
      <c r="CM126" s="554" t="str">
        <f t="shared" si="76"/>
        <v/>
      </c>
      <c r="CN126" s="424"/>
      <c r="CO126" s="551" t="str">
        <f t="shared" si="55"/>
        <v/>
      </c>
      <c r="CP126" s="552" t="str">
        <f t="shared" si="56"/>
        <v/>
      </c>
      <c r="CQ126" s="554" t="str">
        <f t="shared" si="57"/>
        <v/>
      </c>
      <c r="CR126" s="424"/>
      <c r="CS126" s="551" t="str">
        <f t="shared" si="58"/>
        <v/>
      </c>
      <c r="CT126" s="552" t="str">
        <f t="shared" si="59"/>
        <v/>
      </c>
      <c r="CU126" s="554" t="str">
        <f t="shared" si="60"/>
        <v/>
      </c>
      <c r="CW126" s="555" t="str">
        <f t="shared" si="77"/>
        <v/>
      </c>
      <c r="CX126" s="556">
        <f t="shared" si="78"/>
        <v>0</v>
      </c>
    </row>
    <row r="127" spans="1:102" s="410" customFormat="1" ht="15.75" x14ac:dyDescent="0.2">
      <c r="A127" s="506"/>
      <c r="B127" s="162">
        <v>101</v>
      </c>
      <c r="C127" s="557" t="s">
        <v>84</v>
      </c>
      <c r="D127" s="558"/>
      <c r="E127" s="558"/>
      <c r="F127" s="558"/>
      <c r="G127" s="558"/>
      <c r="H127" s="558"/>
      <c r="I127" s="558"/>
      <c r="J127" s="558"/>
      <c r="K127" s="559"/>
      <c r="L127" s="559"/>
      <c r="M127" s="559"/>
      <c r="N127" s="559"/>
      <c r="O127" s="560"/>
      <c r="P127" s="560"/>
      <c r="Q127" s="559"/>
      <c r="R127" s="560"/>
      <c r="S127" s="560"/>
      <c r="T127" s="560"/>
      <c r="U127" s="561"/>
      <c r="V127" s="562"/>
      <c r="W127" s="563"/>
      <c r="X127" s="563"/>
      <c r="Y127" s="563"/>
      <c r="Z127" s="563"/>
      <c r="AA127" s="563"/>
      <c r="AB127" s="563"/>
      <c r="AC127" s="563"/>
      <c r="AD127" s="564">
        <f>SUM(AD27:AD126)</f>
        <v>0</v>
      </c>
      <c r="AE127" s="565">
        <f>SUM(AE27:AE126)</f>
        <v>0</v>
      </c>
      <c r="AF127" s="566"/>
      <c r="AG127" s="558"/>
      <c r="AH127" s="567"/>
      <c r="AI127" s="567"/>
      <c r="AJ127" s="567"/>
      <c r="AK127" s="567"/>
      <c r="AL127" s="567"/>
      <c r="AM127" s="568"/>
      <c r="AN127" s="569"/>
      <c r="AO127" s="570"/>
      <c r="AP127" s="565">
        <f>SUM(AP27:AP126)</f>
        <v>0</v>
      </c>
      <c r="AQ127" s="569"/>
      <c r="AR127" s="570"/>
      <c r="AS127" s="565">
        <f>SUM(AS27:AS126)</f>
        <v>0</v>
      </c>
      <c r="AT127" s="569"/>
      <c r="AU127" s="506"/>
      <c r="AV127" s="506"/>
      <c r="AW127" s="506"/>
      <c r="AX127" s="312"/>
      <c r="AY127" s="312"/>
      <c r="AZ127" s="565">
        <f>SUM(AZ27:AZ126)</f>
        <v>0</v>
      </c>
      <c r="BA127" s="565">
        <f t="shared" ref="BA127:BC127" si="79">SUM(BA27:BA126)</f>
        <v>0</v>
      </c>
      <c r="BB127" s="565">
        <f t="shared" si="79"/>
        <v>0</v>
      </c>
      <c r="BC127" s="565">
        <f t="shared" si="79"/>
        <v>0</v>
      </c>
      <c r="BD127" s="565">
        <f>SUM(BD27:BD126)</f>
        <v>0</v>
      </c>
      <c r="BE127" s="565">
        <f>SUM(BE27:BE126)</f>
        <v>0</v>
      </c>
      <c r="BF127" s="565">
        <f>SUM(BF27:BF126)</f>
        <v>0</v>
      </c>
      <c r="BG127" s="565">
        <f>SUM(BG27:BG126)</f>
        <v>0</v>
      </c>
    </row>
    <row r="128" spans="1:102" x14ac:dyDescent="0.2">
      <c r="A128" s="506"/>
      <c r="B128" s="506"/>
      <c r="C128" s="506"/>
      <c r="D128" s="506"/>
      <c r="E128" s="506"/>
      <c r="F128" s="506"/>
      <c r="G128" s="506"/>
      <c r="H128" s="506"/>
      <c r="I128" s="506"/>
      <c r="J128" s="506"/>
      <c r="K128" s="506"/>
      <c r="L128" s="506"/>
      <c r="M128" s="506"/>
      <c r="N128" s="506"/>
      <c r="O128" s="506"/>
      <c r="P128" s="506"/>
      <c r="Q128" s="506"/>
      <c r="R128" s="506"/>
      <c r="S128" s="506"/>
      <c r="T128" s="506"/>
      <c r="U128" s="506"/>
      <c r="V128" s="506"/>
      <c r="W128" s="506"/>
      <c r="X128" s="506"/>
      <c r="Y128" s="506"/>
      <c r="Z128" s="506"/>
      <c r="AA128" s="506"/>
      <c r="AB128" s="506"/>
      <c r="AC128" s="506"/>
      <c r="AD128" s="506"/>
      <c r="AE128" s="506"/>
      <c r="AF128" s="506"/>
      <c r="AG128" s="506"/>
      <c r="AH128" s="506"/>
      <c r="AI128" s="506"/>
      <c r="AJ128" s="506"/>
      <c r="AK128" s="506"/>
      <c r="AL128" s="506"/>
      <c r="AM128" s="506"/>
      <c r="AN128" s="506"/>
      <c r="AO128" s="506"/>
      <c r="AP128" s="506"/>
      <c r="AQ128" s="506"/>
      <c r="AR128" s="506"/>
      <c r="AS128" s="506"/>
      <c r="AT128" s="506"/>
      <c r="AU128" s="506"/>
      <c r="AV128" s="506"/>
      <c r="AW128" s="506"/>
    </row>
    <row r="129" spans="3:55" x14ac:dyDescent="0.2">
      <c r="AU129" s="506"/>
      <c r="AV129" s="506"/>
      <c r="AW129" s="506"/>
    </row>
    <row r="131" spans="3:55" ht="15" customHeight="1" x14ac:dyDescent="0.2">
      <c r="C131" s="571"/>
      <c r="D131" s="1415" t="s">
        <v>589</v>
      </c>
      <c r="E131" s="571"/>
      <c r="F131" s="571"/>
      <c r="G131" s="571"/>
      <c r="H131" s="1415" t="s">
        <v>590</v>
      </c>
      <c r="I131" s="1412" t="s">
        <v>591</v>
      </c>
      <c r="J131" s="1412" t="s">
        <v>592</v>
      </c>
      <c r="K131" s="1412" t="s">
        <v>593</v>
      </c>
      <c r="L131" s="571"/>
      <c r="M131" s="571"/>
      <c r="N131" s="571"/>
      <c r="O131" s="571"/>
      <c r="P131" s="1412" t="s">
        <v>594</v>
      </c>
      <c r="Q131" s="571"/>
      <c r="R131" s="571"/>
      <c r="S131" s="571"/>
      <c r="T131" s="571"/>
      <c r="U131" s="571"/>
      <c r="V131" s="1412" t="s">
        <v>595</v>
      </c>
      <c r="W131" s="572"/>
      <c r="X131" s="572"/>
      <c r="Y131" s="572"/>
      <c r="Z131" s="1412" t="s">
        <v>596</v>
      </c>
      <c r="AA131" s="571"/>
      <c r="AB131" s="573" t="s">
        <v>597</v>
      </c>
      <c r="AC131" s="571"/>
      <c r="AD131" s="571"/>
      <c r="AE131" s="571"/>
      <c r="AF131" s="572"/>
      <c r="AG131" s="572"/>
      <c r="AH131" s="572"/>
      <c r="AI131" s="572"/>
      <c r="AJ131" s="572"/>
      <c r="AK131" s="1412" t="s">
        <v>591</v>
      </c>
      <c r="AL131" s="1412" t="s">
        <v>591</v>
      </c>
      <c r="AM131" s="572"/>
      <c r="AN131" s="571"/>
      <c r="AO131" s="1415" t="s">
        <v>598</v>
      </c>
      <c r="AP131" s="571"/>
      <c r="AQ131" s="571"/>
      <c r="AR131" s="571"/>
      <c r="AS131" s="571"/>
      <c r="AT131" s="571"/>
      <c r="AU131" s="571"/>
      <c r="AV131" s="571"/>
      <c r="AW131" s="571"/>
      <c r="AX131" s="571"/>
      <c r="AY131" s="571"/>
      <c r="AZ131" s="574"/>
      <c r="BA131" s="574"/>
      <c r="BB131" s="574"/>
      <c r="BC131" s="574"/>
    </row>
    <row r="132" spans="3:55" ht="15" customHeight="1" x14ac:dyDescent="0.2">
      <c r="C132" s="571"/>
      <c r="D132" s="1416"/>
      <c r="E132" s="571"/>
      <c r="F132" s="571"/>
      <c r="G132" s="571"/>
      <c r="H132" s="1416"/>
      <c r="I132" s="1413"/>
      <c r="J132" s="1413"/>
      <c r="K132" s="1413"/>
      <c r="L132" s="571"/>
      <c r="M132" s="571"/>
      <c r="N132" s="571"/>
      <c r="O132" s="571"/>
      <c r="P132" s="1413"/>
      <c r="Q132" s="571"/>
      <c r="R132" s="571"/>
      <c r="S132" s="571"/>
      <c r="T132" s="571"/>
      <c r="U132" s="571"/>
      <c r="V132" s="1413"/>
      <c r="W132" s="572"/>
      <c r="X132" s="572"/>
      <c r="Y132" s="572"/>
      <c r="Z132" s="1413"/>
      <c r="AA132" s="572"/>
      <c r="AB132" s="575"/>
      <c r="AC132" s="571"/>
      <c r="AD132" s="572"/>
      <c r="AE132" s="572"/>
      <c r="AF132" s="572"/>
      <c r="AG132" s="572"/>
      <c r="AH132" s="572"/>
      <c r="AI132" s="572"/>
      <c r="AJ132" s="572"/>
      <c r="AK132" s="1413"/>
      <c r="AL132" s="1413"/>
      <c r="AM132" s="572"/>
      <c r="AN132" s="571"/>
      <c r="AO132" s="1416"/>
      <c r="AP132" s="571"/>
      <c r="AQ132" s="571"/>
      <c r="AR132" s="571"/>
      <c r="AS132" s="571"/>
      <c r="AT132" s="571"/>
      <c r="AU132" s="571"/>
      <c r="AV132" s="571"/>
      <c r="AW132" s="571"/>
      <c r="AX132" s="571"/>
      <c r="AY132" s="571"/>
      <c r="AZ132" s="576"/>
      <c r="BA132" s="576"/>
      <c r="BB132" s="576"/>
      <c r="BC132" s="576"/>
    </row>
    <row r="133" spans="3:55" ht="14.25" x14ac:dyDescent="0.2">
      <c r="C133" s="571"/>
      <c r="D133" s="1416"/>
      <c r="E133" s="571"/>
      <c r="F133" s="571"/>
      <c r="G133" s="571"/>
      <c r="H133" s="1416"/>
      <c r="I133" s="1413"/>
      <c r="J133" s="1413"/>
      <c r="K133" s="1413"/>
      <c r="L133" s="571"/>
      <c r="M133" s="571"/>
      <c r="N133" s="571"/>
      <c r="O133" s="571"/>
      <c r="P133" s="1413"/>
      <c r="Q133" s="571"/>
      <c r="R133" s="571"/>
      <c r="S133" s="571"/>
      <c r="T133" s="571"/>
      <c r="U133" s="571"/>
      <c r="V133" s="1413"/>
      <c r="W133" s="572"/>
      <c r="X133" s="572"/>
      <c r="Y133" s="572"/>
      <c r="Z133" s="1413"/>
      <c r="AA133" s="572"/>
      <c r="AB133" s="575"/>
      <c r="AC133" s="571"/>
      <c r="AD133" s="572"/>
      <c r="AE133" s="572"/>
      <c r="AF133" s="572"/>
      <c r="AG133" s="572"/>
      <c r="AH133" s="572"/>
      <c r="AI133" s="572"/>
      <c r="AJ133" s="572"/>
      <c r="AK133" s="1413"/>
      <c r="AL133" s="1413"/>
      <c r="AM133" s="572"/>
      <c r="AN133" s="571"/>
      <c r="AO133" s="1416"/>
      <c r="AP133" s="571"/>
      <c r="AQ133" s="571"/>
      <c r="AR133" s="571"/>
      <c r="AS133" s="571"/>
      <c r="AT133" s="571"/>
      <c r="AU133" s="571"/>
      <c r="AV133" s="571"/>
      <c r="AW133" s="571"/>
      <c r="AX133" s="571"/>
      <c r="AY133" s="571"/>
      <c r="AZ133" s="576"/>
      <c r="BA133" s="576"/>
      <c r="BB133" s="576"/>
      <c r="BC133" s="576"/>
    </row>
    <row r="134" spans="3:55" ht="14.25" x14ac:dyDescent="0.2">
      <c r="C134" s="571"/>
      <c r="D134" s="1417"/>
      <c r="E134" s="571"/>
      <c r="F134" s="571"/>
      <c r="G134" s="571"/>
      <c r="H134" s="1417"/>
      <c r="I134" s="1414"/>
      <c r="J134" s="1414"/>
      <c r="K134" s="1414"/>
      <c r="L134" s="571"/>
      <c r="M134" s="571"/>
      <c r="N134" s="571"/>
      <c r="O134" s="571"/>
      <c r="P134" s="1414"/>
      <c r="Q134" s="571"/>
      <c r="R134" s="571"/>
      <c r="S134" s="571"/>
      <c r="T134" s="571"/>
      <c r="U134" s="571"/>
      <c r="V134" s="1414"/>
      <c r="W134" s="572"/>
      <c r="X134" s="572"/>
      <c r="Y134" s="572"/>
      <c r="Z134" s="1414"/>
      <c r="AA134" s="572"/>
      <c r="AB134" s="577"/>
      <c r="AC134" s="571"/>
      <c r="AD134" s="572"/>
      <c r="AE134" s="572"/>
      <c r="AF134" s="572"/>
      <c r="AG134" s="572"/>
      <c r="AH134" s="572"/>
      <c r="AI134" s="572"/>
      <c r="AJ134" s="572"/>
      <c r="AK134" s="1414"/>
      <c r="AL134" s="1414"/>
      <c r="AM134" s="572"/>
      <c r="AN134" s="571"/>
      <c r="AO134" s="1417"/>
      <c r="AP134" s="571"/>
      <c r="AQ134" s="571"/>
      <c r="AR134" s="571"/>
      <c r="AS134" s="571"/>
      <c r="AT134" s="571"/>
      <c r="AU134" s="571"/>
      <c r="AV134" s="571"/>
      <c r="AW134" s="571"/>
      <c r="AX134" s="571"/>
      <c r="AY134" s="571"/>
      <c r="AZ134" s="576"/>
      <c r="BA134" s="576"/>
      <c r="BB134" s="576"/>
      <c r="BC134" s="576"/>
    </row>
    <row r="135" spans="3:55" ht="14.25" x14ac:dyDescent="0.2">
      <c r="C135" s="571"/>
      <c r="D135" s="571"/>
      <c r="E135" s="571"/>
      <c r="F135" s="571"/>
      <c r="G135" s="571"/>
      <c r="H135" s="571"/>
      <c r="I135" s="571"/>
      <c r="J135" s="571"/>
      <c r="K135" s="571"/>
      <c r="L135" s="571"/>
      <c r="M135" s="571"/>
      <c r="N135" s="571"/>
      <c r="O135" s="571"/>
      <c r="P135" s="571"/>
      <c r="Q135" s="571"/>
      <c r="R135" s="571"/>
      <c r="S135" s="571"/>
      <c r="T135" s="571"/>
      <c r="U135" s="571"/>
      <c r="V135" s="571"/>
      <c r="W135" s="571"/>
      <c r="X135" s="571"/>
      <c r="Y135" s="571"/>
      <c r="Z135" s="571"/>
      <c r="AA135" s="572"/>
      <c r="AB135" s="571"/>
      <c r="AC135" s="571"/>
      <c r="AD135" s="572"/>
      <c r="AE135" s="572"/>
      <c r="AF135" s="571"/>
      <c r="AG135" s="571"/>
      <c r="AH135" s="571"/>
      <c r="AI135" s="571"/>
      <c r="AJ135" s="571"/>
      <c r="AK135" s="571"/>
      <c r="AL135" s="571"/>
      <c r="AM135" s="571"/>
      <c r="AN135" s="571"/>
      <c r="AO135" s="571"/>
      <c r="AP135" s="571"/>
      <c r="AQ135" s="571"/>
      <c r="AR135" s="571"/>
      <c r="AS135" s="571"/>
      <c r="AT135" s="571"/>
      <c r="AU135" s="571"/>
      <c r="AV135" s="571"/>
      <c r="AW135" s="571"/>
      <c r="AX135" s="571"/>
      <c r="AY135" s="571"/>
      <c r="AZ135" s="571"/>
      <c r="BA135" s="571"/>
      <c r="BB135" s="571"/>
      <c r="BC135" s="571"/>
    </row>
    <row r="136" spans="3:55" ht="14.25" x14ac:dyDescent="0.2">
      <c r="C136" s="571"/>
      <c r="D136" s="578" t="s">
        <v>599</v>
      </c>
      <c r="E136" s="571"/>
      <c r="F136" s="571"/>
      <c r="G136" s="571"/>
      <c r="H136" s="578" t="s">
        <v>600</v>
      </c>
      <c r="I136" s="578" t="s">
        <v>601</v>
      </c>
      <c r="J136" s="578" t="s">
        <v>117</v>
      </c>
      <c r="K136" s="571"/>
      <c r="L136" s="571"/>
      <c r="M136" s="571"/>
      <c r="N136" s="571"/>
      <c r="O136" s="571"/>
      <c r="P136" s="578" t="s">
        <v>602</v>
      </c>
      <c r="Q136" s="571"/>
      <c r="R136" s="571"/>
      <c r="S136" s="571"/>
      <c r="T136" s="571"/>
      <c r="U136" s="571"/>
      <c r="V136" s="578" t="s">
        <v>599</v>
      </c>
      <c r="W136" s="579"/>
      <c r="X136" s="579"/>
      <c r="Y136" s="579"/>
      <c r="Z136" s="578" t="s">
        <v>603</v>
      </c>
      <c r="AA136" s="571"/>
      <c r="AB136" s="578" t="s">
        <v>604</v>
      </c>
      <c r="AC136" s="571"/>
      <c r="AD136" s="571"/>
      <c r="AE136" s="571"/>
      <c r="AF136" s="579"/>
      <c r="AG136" s="579"/>
      <c r="AH136" s="579"/>
      <c r="AI136" s="579"/>
      <c r="AJ136" s="579"/>
      <c r="AK136" s="578" t="s">
        <v>601</v>
      </c>
      <c r="AL136" s="578" t="s">
        <v>601</v>
      </c>
      <c r="AM136" s="579"/>
      <c r="AN136" s="571"/>
      <c r="AO136" s="578" t="s">
        <v>376</v>
      </c>
      <c r="AP136" s="571"/>
      <c r="AQ136" s="571"/>
      <c r="AR136" s="571"/>
      <c r="AS136" s="571"/>
      <c r="AT136" s="571"/>
      <c r="AU136" s="571"/>
      <c r="AV136" s="571"/>
      <c r="AW136" s="571"/>
      <c r="AX136" s="571"/>
      <c r="AY136" s="571"/>
      <c r="AZ136" s="579"/>
      <c r="BA136" s="579"/>
      <c r="BB136" s="579"/>
      <c r="BC136" s="579"/>
    </row>
    <row r="137" spans="3:55" ht="14.25" x14ac:dyDescent="0.2">
      <c r="C137" s="571"/>
      <c r="D137" s="578" t="s">
        <v>605</v>
      </c>
      <c r="E137" s="571"/>
      <c r="F137" s="571"/>
      <c r="G137" s="571"/>
      <c r="H137" s="578" t="s">
        <v>606</v>
      </c>
      <c r="I137" s="578" t="s">
        <v>607</v>
      </c>
      <c r="J137" s="578" t="s">
        <v>608</v>
      </c>
      <c r="K137" s="571"/>
      <c r="L137" s="571"/>
      <c r="M137" s="571"/>
      <c r="N137" s="571"/>
      <c r="O137" s="571"/>
      <c r="P137" s="578" t="s">
        <v>350</v>
      </c>
      <c r="Q137" s="571"/>
      <c r="R137" s="571"/>
      <c r="S137" s="571"/>
      <c r="T137" s="571"/>
      <c r="U137" s="571"/>
      <c r="V137" s="578" t="s">
        <v>350</v>
      </c>
      <c r="W137" s="579"/>
      <c r="X137" s="579"/>
      <c r="Y137" s="579"/>
      <c r="Z137" s="578" t="s">
        <v>609</v>
      </c>
      <c r="AA137" s="579"/>
      <c r="AB137" s="578" t="s">
        <v>610</v>
      </c>
      <c r="AC137" s="571"/>
      <c r="AD137" s="579"/>
      <c r="AE137" s="579"/>
      <c r="AF137" s="579"/>
      <c r="AG137" s="579"/>
      <c r="AH137" s="579"/>
      <c r="AI137" s="579"/>
      <c r="AJ137" s="579"/>
      <c r="AK137" s="578" t="s">
        <v>607</v>
      </c>
      <c r="AL137" s="578" t="s">
        <v>607</v>
      </c>
      <c r="AM137" s="579"/>
      <c r="AN137" s="571"/>
      <c r="AO137" s="578" t="s">
        <v>378</v>
      </c>
      <c r="AP137" s="571"/>
      <c r="AQ137" s="571"/>
      <c r="AR137" s="571"/>
      <c r="AS137" s="571"/>
      <c r="AT137" s="571"/>
      <c r="AU137" s="571"/>
      <c r="AV137" s="571"/>
      <c r="AW137" s="571"/>
      <c r="AX137" s="571"/>
      <c r="AY137" s="571"/>
      <c r="AZ137" s="579"/>
      <c r="BA137" s="579"/>
      <c r="BB137" s="579"/>
      <c r="BC137" s="579"/>
    </row>
    <row r="138" spans="3:55" ht="14.25" x14ac:dyDescent="0.2">
      <c r="C138" s="571"/>
      <c r="D138" s="578" t="s">
        <v>611</v>
      </c>
      <c r="E138" s="571"/>
      <c r="F138" s="571"/>
      <c r="G138" s="571"/>
      <c r="H138" s="578" t="s">
        <v>612</v>
      </c>
      <c r="I138" s="578"/>
      <c r="J138" s="578"/>
      <c r="K138" s="571"/>
      <c r="L138" s="571"/>
      <c r="M138" s="571"/>
      <c r="N138" s="571"/>
      <c r="O138" s="571"/>
      <c r="P138" s="578"/>
      <c r="Q138" s="571"/>
      <c r="R138" s="571"/>
      <c r="S138" s="571"/>
      <c r="T138" s="571"/>
      <c r="U138" s="571"/>
      <c r="V138" s="578"/>
      <c r="W138" s="579"/>
      <c r="X138" s="579"/>
      <c r="Y138" s="579"/>
      <c r="Z138" s="578" t="s">
        <v>350</v>
      </c>
      <c r="AA138" s="579"/>
      <c r="AB138" s="578" t="s">
        <v>350</v>
      </c>
      <c r="AC138" s="571"/>
      <c r="AD138" s="579"/>
      <c r="AE138" s="579"/>
      <c r="AF138" s="579"/>
      <c r="AG138" s="579"/>
      <c r="AH138" s="579"/>
      <c r="AI138" s="579"/>
      <c r="AJ138" s="579"/>
      <c r="AK138" s="578" t="s">
        <v>613</v>
      </c>
      <c r="AL138" s="578" t="s">
        <v>613</v>
      </c>
      <c r="AM138" s="579"/>
      <c r="AN138" s="571"/>
      <c r="AO138" s="578" t="s">
        <v>436</v>
      </c>
      <c r="AP138" s="571"/>
      <c r="AQ138" s="571"/>
      <c r="AR138" s="571"/>
      <c r="AS138" s="571"/>
      <c r="AT138" s="571"/>
      <c r="AU138" s="571"/>
      <c r="AV138" s="571"/>
      <c r="AW138" s="571"/>
      <c r="AX138" s="571"/>
      <c r="AY138" s="571"/>
      <c r="AZ138" s="579"/>
      <c r="BA138" s="579"/>
      <c r="BB138" s="579"/>
      <c r="BC138" s="579"/>
    </row>
    <row r="139" spans="3:55" ht="14.25" x14ac:dyDescent="0.2">
      <c r="C139" s="571"/>
      <c r="D139" s="578" t="s">
        <v>614</v>
      </c>
      <c r="E139" s="571"/>
      <c r="F139" s="571"/>
      <c r="G139" s="571"/>
      <c r="H139" s="578" t="s">
        <v>615</v>
      </c>
      <c r="I139" s="578"/>
      <c r="J139" s="578"/>
      <c r="K139" s="571"/>
      <c r="L139" s="571"/>
      <c r="M139" s="571"/>
      <c r="N139" s="571"/>
      <c r="O139" s="571"/>
      <c r="P139" s="578"/>
      <c r="Q139" s="571"/>
      <c r="R139" s="571"/>
      <c r="S139" s="571"/>
      <c r="T139" s="571"/>
      <c r="U139" s="571"/>
      <c r="V139" s="578"/>
      <c r="W139" s="579"/>
      <c r="X139" s="579"/>
      <c r="Y139" s="579"/>
      <c r="Z139" s="578"/>
      <c r="AA139" s="579"/>
      <c r="AB139" s="578" t="s">
        <v>616</v>
      </c>
      <c r="AC139" s="571"/>
      <c r="AD139" s="579"/>
      <c r="AE139" s="579"/>
      <c r="AF139" s="579"/>
      <c r="AG139" s="579"/>
      <c r="AH139" s="579"/>
      <c r="AI139" s="579"/>
      <c r="AJ139" s="579"/>
      <c r="AK139" s="579"/>
      <c r="AL139" s="579"/>
      <c r="AM139" s="579"/>
      <c r="AN139" s="571"/>
      <c r="AO139" s="578"/>
      <c r="AP139" s="571"/>
      <c r="AQ139" s="571"/>
      <c r="AR139" s="571"/>
      <c r="AS139" s="571"/>
      <c r="AT139" s="571"/>
      <c r="AU139" s="571"/>
      <c r="AV139" s="571"/>
      <c r="AW139" s="571"/>
      <c r="AX139" s="571"/>
      <c r="AY139" s="571"/>
      <c r="AZ139" s="579"/>
      <c r="BA139" s="579"/>
      <c r="BB139" s="579"/>
      <c r="BC139" s="579"/>
    </row>
    <row r="140" spans="3:55" ht="14.25" x14ac:dyDescent="0.2">
      <c r="C140" s="571"/>
      <c r="D140" s="578" t="s">
        <v>617</v>
      </c>
      <c r="E140" s="571"/>
      <c r="F140" s="571"/>
      <c r="G140" s="571"/>
      <c r="H140" s="578" t="s">
        <v>618</v>
      </c>
      <c r="I140" s="578"/>
      <c r="J140" s="578"/>
      <c r="K140" s="571"/>
      <c r="L140" s="571"/>
      <c r="M140" s="571"/>
      <c r="N140" s="571"/>
      <c r="O140" s="571"/>
      <c r="P140" s="578"/>
      <c r="Q140" s="571"/>
      <c r="R140" s="571"/>
      <c r="S140" s="571"/>
      <c r="T140" s="571"/>
      <c r="U140" s="571"/>
      <c r="V140" s="578"/>
      <c r="W140" s="579"/>
      <c r="X140" s="579"/>
      <c r="Y140" s="579"/>
      <c r="Z140" s="578"/>
      <c r="AA140" s="579"/>
      <c r="AB140" s="578"/>
      <c r="AC140" s="571"/>
      <c r="AD140" s="579"/>
      <c r="AE140" s="579"/>
      <c r="AF140" s="579"/>
      <c r="AG140" s="579"/>
      <c r="AH140" s="579"/>
      <c r="AI140" s="579"/>
      <c r="AJ140" s="579"/>
      <c r="AK140" s="579"/>
      <c r="AL140" s="579"/>
      <c r="AM140" s="579"/>
      <c r="AN140" s="571"/>
      <c r="AO140" s="571"/>
      <c r="AP140" s="571"/>
      <c r="AQ140" s="571"/>
      <c r="AR140" s="578"/>
      <c r="AS140" s="571"/>
      <c r="AT140" s="571"/>
      <c r="AU140" s="571"/>
      <c r="AV140" s="571"/>
      <c r="AW140" s="571"/>
      <c r="AX140" s="571"/>
      <c r="AY140" s="571"/>
      <c r="AZ140" s="571"/>
      <c r="BA140" s="571"/>
      <c r="BB140" s="571"/>
      <c r="BC140" s="571"/>
    </row>
    <row r="141" spans="3:55" ht="14.25" x14ac:dyDescent="0.2">
      <c r="C141" s="571"/>
      <c r="D141" s="578" t="s">
        <v>619</v>
      </c>
      <c r="E141" s="571"/>
      <c r="F141" s="571"/>
      <c r="G141" s="571"/>
      <c r="H141" s="571"/>
      <c r="I141" s="578"/>
      <c r="J141" s="578"/>
      <c r="K141" s="571"/>
      <c r="L141" s="571"/>
      <c r="M141" s="571"/>
      <c r="N141" s="571"/>
      <c r="O141" s="571"/>
      <c r="P141" s="578"/>
      <c r="Q141" s="571"/>
      <c r="R141" s="571"/>
      <c r="S141" s="571"/>
      <c r="T141" s="571"/>
      <c r="U141" s="571"/>
      <c r="V141" s="578"/>
      <c r="W141" s="579"/>
      <c r="X141" s="579"/>
      <c r="Y141" s="579"/>
      <c r="Z141" s="578"/>
      <c r="AA141" s="579"/>
      <c r="AB141" s="578"/>
      <c r="AC141" s="571"/>
      <c r="AD141" s="579"/>
      <c r="AE141" s="579"/>
      <c r="AF141" s="579"/>
      <c r="AG141" s="579"/>
      <c r="AH141" s="579"/>
      <c r="AI141" s="579"/>
      <c r="AJ141" s="579"/>
      <c r="AK141" s="579"/>
      <c r="AL141" s="579"/>
      <c r="AM141" s="579"/>
      <c r="AN141" s="571"/>
      <c r="AO141" s="571"/>
      <c r="AP141" s="571"/>
      <c r="AQ141" s="571"/>
      <c r="AR141" s="579"/>
      <c r="AS141" s="571"/>
      <c r="AT141" s="571"/>
      <c r="AU141" s="571"/>
      <c r="AV141" s="571"/>
      <c r="AW141" s="571"/>
      <c r="AX141" s="571"/>
      <c r="AY141" s="571"/>
      <c r="AZ141" s="571"/>
      <c r="BA141" s="571"/>
      <c r="BB141" s="571"/>
      <c r="BC141" s="571"/>
    </row>
    <row r="142" spans="3:55" ht="14.25" x14ac:dyDescent="0.2">
      <c r="C142" s="571"/>
      <c r="D142" s="578" t="s">
        <v>620</v>
      </c>
      <c r="E142" s="571"/>
      <c r="F142" s="571"/>
      <c r="G142" s="571"/>
      <c r="H142" s="571"/>
      <c r="I142" s="578"/>
      <c r="J142" s="578"/>
      <c r="K142" s="571"/>
      <c r="L142" s="571"/>
      <c r="M142" s="571"/>
      <c r="N142" s="571"/>
      <c r="O142" s="571"/>
      <c r="P142" s="578"/>
      <c r="Q142" s="571"/>
      <c r="R142" s="571"/>
      <c r="S142" s="571"/>
      <c r="T142" s="571"/>
      <c r="U142" s="571"/>
      <c r="V142" s="578"/>
      <c r="W142" s="579"/>
      <c r="X142" s="579"/>
      <c r="Y142" s="579"/>
      <c r="Z142" s="578"/>
      <c r="AA142" s="579"/>
      <c r="AB142" s="578"/>
      <c r="AC142" s="571"/>
      <c r="AD142" s="579"/>
      <c r="AE142" s="579"/>
      <c r="AF142" s="579"/>
      <c r="AG142" s="579"/>
      <c r="AH142" s="579"/>
      <c r="AI142" s="579"/>
      <c r="AJ142" s="579"/>
      <c r="AK142" s="579"/>
      <c r="AL142" s="579"/>
      <c r="AM142" s="579"/>
      <c r="AN142" s="571"/>
      <c r="AO142" s="571"/>
      <c r="AP142" s="571"/>
      <c r="AQ142" s="571"/>
      <c r="AR142" s="571"/>
      <c r="AS142" s="571"/>
      <c r="AT142" s="571"/>
      <c r="AU142" s="571"/>
      <c r="AV142" s="571"/>
      <c r="AW142" s="571"/>
      <c r="AX142" s="571"/>
      <c r="AY142" s="571"/>
      <c r="AZ142" s="571"/>
      <c r="BA142" s="571"/>
      <c r="BB142" s="571"/>
      <c r="BC142" s="571"/>
    </row>
    <row r="143" spans="3:55" ht="14.25" x14ac:dyDescent="0.2">
      <c r="C143" s="571"/>
      <c r="D143" s="578" t="s">
        <v>621</v>
      </c>
      <c r="E143" s="571"/>
      <c r="F143" s="571"/>
      <c r="G143" s="571"/>
      <c r="H143" s="571"/>
      <c r="I143" s="578"/>
      <c r="J143" s="578"/>
      <c r="K143" s="571"/>
      <c r="L143" s="571"/>
      <c r="M143" s="571"/>
      <c r="N143" s="571"/>
      <c r="O143" s="571"/>
      <c r="P143" s="578"/>
      <c r="Q143" s="571"/>
      <c r="R143" s="571"/>
      <c r="S143" s="571"/>
      <c r="T143" s="571"/>
      <c r="U143" s="571"/>
      <c r="V143" s="578"/>
      <c r="W143" s="579"/>
      <c r="X143" s="579"/>
      <c r="Y143" s="579"/>
      <c r="Z143" s="578"/>
      <c r="AA143" s="579"/>
      <c r="AB143" s="578"/>
      <c r="AC143" s="571"/>
      <c r="AD143" s="579"/>
      <c r="AE143" s="579"/>
      <c r="AF143" s="579"/>
      <c r="AG143" s="579"/>
      <c r="AH143" s="579"/>
      <c r="AI143" s="579"/>
      <c r="AJ143" s="579"/>
      <c r="AK143" s="579"/>
      <c r="AL143" s="579"/>
      <c r="AM143" s="579"/>
      <c r="AN143" s="571"/>
      <c r="AO143" s="571"/>
      <c r="AP143" s="571"/>
      <c r="AQ143" s="571"/>
      <c r="AR143" s="571"/>
      <c r="AS143" s="571"/>
      <c r="AT143" s="571"/>
      <c r="AU143" s="571"/>
      <c r="AV143" s="571"/>
      <c r="AW143" s="571"/>
      <c r="AX143" s="571"/>
      <c r="AY143" s="571"/>
      <c r="AZ143" s="571"/>
      <c r="BA143" s="571"/>
      <c r="BB143" s="571"/>
      <c r="BC143" s="571"/>
    </row>
    <row r="144" spans="3:55" ht="14.25" x14ac:dyDescent="0.2">
      <c r="C144" s="571"/>
      <c r="D144" s="578" t="s">
        <v>622</v>
      </c>
      <c r="E144" s="571"/>
      <c r="F144" s="571"/>
      <c r="G144" s="571"/>
      <c r="H144" s="571"/>
      <c r="I144" s="578"/>
      <c r="J144" s="578"/>
      <c r="K144" s="571"/>
      <c r="L144" s="571"/>
      <c r="M144" s="571"/>
      <c r="N144" s="571"/>
      <c r="O144" s="571"/>
      <c r="P144" s="578"/>
      <c r="Q144" s="571"/>
      <c r="R144" s="571"/>
      <c r="S144" s="571"/>
      <c r="T144" s="571"/>
      <c r="U144" s="571"/>
      <c r="V144" s="578"/>
      <c r="W144" s="579"/>
      <c r="X144" s="579"/>
      <c r="Y144" s="579"/>
      <c r="Z144" s="578"/>
      <c r="AA144" s="579"/>
      <c r="AB144" s="578"/>
      <c r="AC144" s="571"/>
      <c r="AD144" s="579"/>
      <c r="AE144" s="579"/>
      <c r="AF144" s="579"/>
      <c r="AG144" s="579"/>
      <c r="AH144" s="579"/>
      <c r="AI144" s="579"/>
      <c r="AJ144" s="579"/>
      <c r="AK144" s="579"/>
      <c r="AL144" s="579"/>
      <c r="AM144" s="579"/>
      <c r="AN144" s="571"/>
      <c r="AO144" s="571"/>
      <c r="AP144" s="571"/>
      <c r="AQ144" s="571"/>
      <c r="AR144" s="571"/>
      <c r="AS144" s="571"/>
      <c r="AT144" s="571"/>
      <c r="AU144" s="571"/>
      <c r="AV144" s="571"/>
      <c r="AW144" s="571"/>
      <c r="AX144" s="571"/>
      <c r="AY144" s="571"/>
      <c r="AZ144" s="571"/>
      <c r="BA144" s="571"/>
      <c r="BB144" s="571"/>
      <c r="BC144" s="571"/>
    </row>
    <row r="145" spans="3:55" ht="14.25" x14ac:dyDescent="0.2">
      <c r="C145" s="571"/>
      <c r="D145" s="578" t="s">
        <v>350</v>
      </c>
      <c r="E145" s="571"/>
      <c r="F145" s="571"/>
      <c r="G145" s="571"/>
      <c r="H145" s="571"/>
      <c r="I145" s="578"/>
      <c r="J145" s="578"/>
      <c r="K145" s="571"/>
      <c r="L145" s="571"/>
      <c r="M145" s="571"/>
      <c r="N145" s="571"/>
      <c r="O145" s="571"/>
      <c r="P145" s="578"/>
      <c r="Q145" s="571"/>
      <c r="R145" s="571"/>
      <c r="S145" s="571"/>
      <c r="T145" s="571"/>
      <c r="U145" s="571"/>
      <c r="V145" s="578"/>
      <c r="W145" s="579"/>
      <c r="X145" s="579"/>
      <c r="Y145" s="579"/>
      <c r="Z145" s="578"/>
      <c r="AA145" s="579"/>
      <c r="AB145" s="578"/>
      <c r="AC145" s="571"/>
      <c r="AD145" s="579"/>
      <c r="AE145" s="579"/>
      <c r="AF145" s="579"/>
      <c r="AG145" s="579"/>
      <c r="AH145" s="579"/>
      <c r="AI145" s="579"/>
      <c r="AJ145" s="579"/>
      <c r="AK145" s="579"/>
      <c r="AL145" s="579"/>
      <c r="AM145" s="579"/>
      <c r="AN145" s="571"/>
      <c r="AO145" s="571"/>
      <c r="AP145" s="571"/>
      <c r="AQ145" s="571"/>
      <c r="AR145" s="571"/>
      <c r="AS145" s="571"/>
      <c r="AT145" s="571"/>
      <c r="AU145" s="571"/>
      <c r="AV145" s="571"/>
      <c r="AW145" s="571"/>
      <c r="AX145" s="571"/>
      <c r="AY145" s="571"/>
      <c r="AZ145" s="571"/>
      <c r="BA145" s="571"/>
      <c r="BB145" s="571"/>
      <c r="BC145" s="571"/>
    </row>
    <row r="146" spans="3:55" ht="14.25" x14ac:dyDescent="0.2">
      <c r="C146" s="571"/>
      <c r="D146" s="571"/>
      <c r="E146" s="571"/>
      <c r="F146" s="571"/>
      <c r="G146" s="571"/>
      <c r="H146" s="571"/>
      <c r="I146" s="571"/>
      <c r="J146" s="571"/>
      <c r="K146" s="571"/>
      <c r="L146" s="571"/>
      <c r="M146" s="571"/>
      <c r="N146" s="571"/>
      <c r="O146" s="571"/>
      <c r="P146" s="571"/>
      <c r="Q146" s="571"/>
      <c r="R146" s="571"/>
      <c r="S146" s="571"/>
      <c r="T146" s="571"/>
      <c r="U146" s="571"/>
      <c r="V146" s="571"/>
      <c r="W146" s="571"/>
      <c r="X146" s="571"/>
      <c r="Y146" s="571"/>
      <c r="Z146" s="571"/>
      <c r="AA146" s="579"/>
      <c r="AB146" s="571"/>
      <c r="AC146" s="571"/>
      <c r="AD146" s="579"/>
      <c r="AE146" s="579"/>
      <c r="AF146" s="571"/>
      <c r="AG146" s="571"/>
      <c r="AH146" s="571"/>
      <c r="AI146" s="571"/>
      <c r="AJ146" s="571"/>
      <c r="AK146" s="571"/>
      <c r="AL146" s="571"/>
      <c r="AM146" s="571"/>
      <c r="AN146" s="571"/>
      <c r="AO146" s="571"/>
      <c r="AP146" s="571"/>
      <c r="AQ146" s="571"/>
      <c r="AR146" s="571"/>
      <c r="AS146" s="571"/>
      <c r="AT146" s="571"/>
      <c r="AU146" s="571"/>
      <c r="AV146" s="571"/>
      <c r="AW146" s="571"/>
      <c r="AX146" s="571"/>
      <c r="AY146" s="571"/>
      <c r="AZ146" s="571"/>
      <c r="BA146" s="571"/>
      <c r="BB146" s="571"/>
      <c r="BC146" s="571"/>
    </row>
    <row r="147" spans="3:55" x14ac:dyDescent="0.2">
      <c r="C147" s="571"/>
      <c r="D147" s="571"/>
      <c r="E147" s="571"/>
      <c r="F147" s="571"/>
      <c r="G147" s="571"/>
      <c r="H147" s="571"/>
      <c r="I147" s="571"/>
      <c r="J147" s="571"/>
      <c r="K147" s="571"/>
      <c r="L147" s="571"/>
      <c r="M147" s="571"/>
      <c r="N147" s="571"/>
      <c r="O147" s="571"/>
      <c r="P147" s="571"/>
      <c r="Q147" s="571"/>
      <c r="R147" s="571"/>
      <c r="S147" s="571"/>
      <c r="T147" s="571"/>
      <c r="U147" s="571"/>
      <c r="V147" s="571"/>
      <c r="W147" s="571"/>
      <c r="X147" s="571"/>
      <c r="Y147" s="571"/>
      <c r="Z147" s="571"/>
      <c r="AA147" s="571"/>
      <c r="AB147" s="571"/>
      <c r="AC147" s="571"/>
      <c r="AD147" s="571"/>
      <c r="AE147" s="571"/>
      <c r="AF147" s="571"/>
      <c r="AG147" s="571"/>
      <c r="AH147" s="571"/>
      <c r="AI147" s="571"/>
      <c r="AJ147" s="571"/>
      <c r="AK147" s="571"/>
      <c r="AL147" s="571"/>
      <c r="AM147" s="571"/>
      <c r="AN147" s="571"/>
      <c r="AO147" s="571"/>
      <c r="AP147" s="571"/>
      <c r="AQ147" s="571"/>
      <c r="AR147" s="571"/>
      <c r="AS147" s="571"/>
      <c r="AT147" s="571"/>
      <c r="AU147" s="571"/>
      <c r="AV147" s="571"/>
      <c r="AW147" s="571"/>
      <c r="AX147" s="571"/>
      <c r="AY147" s="571"/>
      <c r="AZ147" s="571"/>
      <c r="BA147" s="571"/>
      <c r="BB147" s="571"/>
      <c r="BC147" s="571"/>
    </row>
    <row r="148" spans="3:55" x14ac:dyDescent="0.2">
      <c r="C148" s="571"/>
      <c r="D148" s="571"/>
      <c r="E148" s="571"/>
      <c r="F148" s="571"/>
      <c r="G148" s="571"/>
      <c r="H148" s="571"/>
      <c r="I148" s="571"/>
      <c r="J148" s="571"/>
      <c r="K148" s="571"/>
      <c r="L148" s="571"/>
      <c r="M148" s="571"/>
      <c r="N148" s="571"/>
      <c r="O148" s="571"/>
      <c r="P148" s="571"/>
      <c r="Q148" s="571"/>
      <c r="R148" s="571"/>
      <c r="S148" s="571"/>
      <c r="T148" s="571"/>
      <c r="U148" s="571"/>
      <c r="V148" s="571"/>
      <c r="W148" s="571"/>
      <c r="X148" s="571"/>
      <c r="Y148" s="571"/>
      <c r="Z148" s="571"/>
      <c r="AA148" s="571"/>
      <c r="AB148" s="571"/>
      <c r="AC148" s="571"/>
      <c r="AD148" s="571"/>
      <c r="AE148" s="571"/>
      <c r="AF148" s="571"/>
      <c r="AG148" s="571"/>
      <c r="AH148" s="571"/>
      <c r="AI148" s="571"/>
      <c r="AJ148" s="571"/>
      <c r="AK148" s="571"/>
      <c r="AL148" s="571"/>
      <c r="AM148" s="571"/>
      <c r="AN148" s="571"/>
      <c r="AO148" s="571"/>
      <c r="AP148" s="571"/>
      <c r="AQ148" s="571"/>
      <c r="AR148" s="571"/>
      <c r="AS148" s="571"/>
      <c r="AT148" s="571"/>
      <c r="AU148" s="571"/>
      <c r="AV148" s="571"/>
      <c r="AW148" s="571"/>
      <c r="AX148" s="571"/>
      <c r="AY148" s="571"/>
      <c r="AZ148" s="571"/>
      <c r="BA148" s="571"/>
      <c r="BB148" s="571"/>
      <c r="BC148" s="571"/>
    </row>
  </sheetData>
  <dataConsolidate/>
  <mergeCells count="48">
    <mergeCell ref="W23:X24"/>
    <mergeCell ref="AR5:AR6"/>
    <mergeCell ref="BI9:BK9"/>
    <mergeCell ref="C23:C25"/>
    <mergeCell ref="D23:D25"/>
    <mergeCell ref="E23:E25"/>
    <mergeCell ref="F23:F25"/>
    <mergeCell ref="G23:G25"/>
    <mergeCell ref="H23:H25"/>
    <mergeCell ref="I23:I25"/>
    <mergeCell ref="J23:J25"/>
    <mergeCell ref="K23:M24"/>
    <mergeCell ref="N23:N25"/>
    <mergeCell ref="O23:Q24"/>
    <mergeCell ref="R23:T24"/>
    <mergeCell ref="U23:V24"/>
    <mergeCell ref="CS24:CU24"/>
    <mergeCell ref="CW24:CX24"/>
    <mergeCell ref="D131:D134"/>
    <mergeCell ref="H131:H134"/>
    <mergeCell ref="I131:I134"/>
    <mergeCell ref="J131:J134"/>
    <mergeCell ref="K131:K134"/>
    <mergeCell ref="P131:P134"/>
    <mergeCell ref="V131:V134"/>
    <mergeCell ref="AO23:AP24"/>
    <mergeCell ref="AR23:AS24"/>
    <mergeCell ref="AB24:AC24"/>
    <mergeCell ref="AX24:BG24"/>
    <mergeCell ref="CI24:CJ24"/>
    <mergeCell ref="CL24:CM24"/>
    <mergeCell ref="AH23:AH25"/>
    <mergeCell ref="Z131:Z134"/>
    <mergeCell ref="AK131:AK134"/>
    <mergeCell ref="AL131:AL134"/>
    <mergeCell ref="AO131:AO134"/>
    <mergeCell ref="CO24:CQ24"/>
    <mergeCell ref="AI23:AI25"/>
    <mergeCell ref="AJ23:AJ25"/>
    <mergeCell ref="AK23:AK25"/>
    <mergeCell ref="AL23:AL25"/>
    <mergeCell ref="AM23:AM25"/>
    <mergeCell ref="Y23:Z24"/>
    <mergeCell ref="AA23:AA25"/>
    <mergeCell ref="AD23:AD25"/>
    <mergeCell ref="AE23:AE25"/>
    <mergeCell ref="AF23:AF25"/>
    <mergeCell ref="AG23:AG25"/>
  </mergeCells>
  <conditionalFormatting sqref="CS27:CU126">
    <cfRule type="cellIs" dxfId="5" priority="6" operator="equal">
      <formula>"ERROR"</formula>
    </cfRule>
  </conditionalFormatting>
  <conditionalFormatting sqref="BJ27:CF126">
    <cfRule type="cellIs" dxfId="4" priority="5" operator="equal">
      <formula>"ERROR"</formula>
    </cfRule>
  </conditionalFormatting>
  <conditionalFormatting sqref="CG27:CG126">
    <cfRule type="cellIs" dxfId="3" priority="4" operator="equal">
      <formula>"ERROR"</formula>
    </cfRule>
  </conditionalFormatting>
  <conditionalFormatting sqref="CL27:CM126">
    <cfRule type="cellIs" dxfId="2" priority="3" operator="equal">
      <formula>"ERROR"</formula>
    </cfRule>
  </conditionalFormatting>
  <conditionalFormatting sqref="CI27:CJ126">
    <cfRule type="cellIs" dxfId="1" priority="2" operator="equal">
      <formula>"ERROR"</formula>
    </cfRule>
  </conditionalFormatting>
  <conditionalFormatting sqref="CO27:CQ126">
    <cfRule type="cellIs" dxfId="0" priority="1" operator="equal">
      <formula>"ERROR"</formula>
    </cfRule>
  </conditionalFormatting>
  <dataValidations count="21">
    <dataValidation type="list" allowBlank="1" showInputMessage="1" showErrorMessage="1" sqref="AY27:AY126">
      <formula1>$AY$6:$AY$9</formula1>
    </dataValidation>
    <dataValidation type="list" allowBlank="1" showInputMessage="1" showErrorMessage="1" sqref="Z27:Z126">
      <formula1>PrincipalLossAbsorbency</formula1>
    </dataValidation>
    <dataValidation type="list" errorStyle="warning" allowBlank="1" showInputMessage="1" showErrorMessage="1" errorTitle="Conversion Result" error="Indicate if, as a result of conversion, the holder receives:_x000a__x000a_Shares - Com/Ord_x000a_Other" sqref="W27:W126">
      <formula1>$I$136:$I$137</formula1>
    </dataValidation>
    <dataValidation type="list" allowBlank="1" showInputMessage="1" showErrorMessage="1" sqref="O27 AM27 F27:G27 I27 AF27:AJ27">
      <formula1>$I$136:$I$137</formula1>
    </dataValidation>
    <dataValidation type="list" allowBlank="1" showInputMessage="1" showErrorMessage="1" sqref="D27">
      <formula1>$D$136:$D$145</formula1>
    </dataValidation>
    <dataValidation type="list" errorStyle="warning" allowBlank="1" showInputMessage="1" showErrorMessage="1" errorTitle="Special Condition Type" error="Input either: _x000a__x000a_Amortization_x000a_Lock-In_x000a_Other" sqref="WWV983069:WWV983167 KJ28:KJ126 UF28:UF126 AEB28:AEB126 ANX28:ANX126 AXT28:AXT126 BHP28:BHP126 BRL28:BRL126 CBH28:CBH126 CLD28:CLD126 CUZ28:CUZ126 DEV28:DEV126 DOR28:DOR126 DYN28:DYN126 EIJ28:EIJ126 ESF28:ESF126 FCB28:FCB126 FLX28:FLX126 FVT28:FVT126 GFP28:GFP126 GPL28:GPL126 GZH28:GZH126 HJD28:HJD126 HSZ28:HSZ126 ICV28:ICV126 IMR28:IMR126 IWN28:IWN126 JGJ28:JGJ126 JQF28:JQF126 KAB28:KAB126 KJX28:KJX126 KTT28:KTT126 LDP28:LDP126 LNL28:LNL126 LXH28:LXH126 MHD28:MHD126 MQZ28:MQZ126 NAV28:NAV126 NKR28:NKR126 NUN28:NUN126 OEJ28:OEJ126 OOF28:OOF126 OYB28:OYB126 PHX28:PHX126 PRT28:PRT126 QBP28:QBP126 QLL28:QLL126 QVH28:QVH126 RFD28:RFD126 ROZ28:ROZ126 RYV28:RYV126 SIR28:SIR126 SSN28:SSN126 TCJ28:TCJ126 TMF28:TMF126 TWB28:TWB126 UFX28:UFX126 UPT28:UPT126 UZP28:UZP126 VJL28:VJL126 VTH28:VTH126 WDD28:WDD126 WMZ28:WMZ126 WWV28:WWV126 KJ65565:KJ65663 UF65565:UF65663 AEB65565:AEB65663 ANX65565:ANX65663 AXT65565:AXT65663 BHP65565:BHP65663 BRL65565:BRL65663 CBH65565:CBH65663 CLD65565:CLD65663 CUZ65565:CUZ65663 DEV65565:DEV65663 DOR65565:DOR65663 DYN65565:DYN65663 EIJ65565:EIJ65663 ESF65565:ESF65663 FCB65565:FCB65663 FLX65565:FLX65663 FVT65565:FVT65663 GFP65565:GFP65663 GPL65565:GPL65663 GZH65565:GZH65663 HJD65565:HJD65663 HSZ65565:HSZ65663 ICV65565:ICV65663 IMR65565:IMR65663 IWN65565:IWN65663 JGJ65565:JGJ65663 JQF65565:JQF65663 KAB65565:KAB65663 KJX65565:KJX65663 KTT65565:KTT65663 LDP65565:LDP65663 LNL65565:LNL65663 LXH65565:LXH65663 MHD65565:MHD65663 MQZ65565:MQZ65663 NAV65565:NAV65663 NKR65565:NKR65663 NUN65565:NUN65663 OEJ65565:OEJ65663 OOF65565:OOF65663 OYB65565:OYB65663 PHX65565:PHX65663 PRT65565:PRT65663 QBP65565:QBP65663 QLL65565:QLL65663 QVH65565:QVH65663 RFD65565:RFD65663 ROZ65565:ROZ65663 RYV65565:RYV65663 SIR65565:SIR65663 SSN65565:SSN65663 TCJ65565:TCJ65663 TMF65565:TMF65663 TWB65565:TWB65663 UFX65565:UFX65663 UPT65565:UPT65663 UZP65565:UZP65663 VJL65565:VJL65663 VTH65565:VTH65663 WDD65565:WDD65663 WMZ65565:WMZ65663 WWV65565:WWV65663 KJ131101:KJ131199 UF131101:UF131199 AEB131101:AEB131199 ANX131101:ANX131199 AXT131101:AXT131199 BHP131101:BHP131199 BRL131101:BRL131199 CBH131101:CBH131199 CLD131101:CLD131199 CUZ131101:CUZ131199 DEV131101:DEV131199 DOR131101:DOR131199 DYN131101:DYN131199 EIJ131101:EIJ131199 ESF131101:ESF131199 FCB131101:FCB131199 FLX131101:FLX131199 FVT131101:FVT131199 GFP131101:GFP131199 GPL131101:GPL131199 GZH131101:GZH131199 HJD131101:HJD131199 HSZ131101:HSZ131199 ICV131101:ICV131199 IMR131101:IMR131199 IWN131101:IWN131199 JGJ131101:JGJ131199 JQF131101:JQF131199 KAB131101:KAB131199 KJX131101:KJX131199 KTT131101:KTT131199 LDP131101:LDP131199 LNL131101:LNL131199 LXH131101:LXH131199 MHD131101:MHD131199 MQZ131101:MQZ131199 NAV131101:NAV131199 NKR131101:NKR131199 NUN131101:NUN131199 OEJ131101:OEJ131199 OOF131101:OOF131199 OYB131101:OYB131199 PHX131101:PHX131199 PRT131101:PRT131199 QBP131101:QBP131199 QLL131101:QLL131199 QVH131101:QVH131199 RFD131101:RFD131199 ROZ131101:ROZ131199 RYV131101:RYV131199 SIR131101:SIR131199 SSN131101:SSN131199 TCJ131101:TCJ131199 TMF131101:TMF131199 TWB131101:TWB131199 UFX131101:UFX131199 UPT131101:UPT131199 UZP131101:UZP131199 VJL131101:VJL131199 VTH131101:VTH131199 WDD131101:WDD131199 WMZ131101:WMZ131199 WWV131101:WWV131199 KJ196637:KJ196735 UF196637:UF196735 AEB196637:AEB196735 ANX196637:ANX196735 AXT196637:AXT196735 BHP196637:BHP196735 BRL196637:BRL196735 CBH196637:CBH196735 CLD196637:CLD196735 CUZ196637:CUZ196735 DEV196637:DEV196735 DOR196637:DOR196735 DYN196637:DYN196735 EIJ196637:EIJ196735 ESF196637:ESF196735 FCB196637:FCB196735 FLX196637:FLX196735 FVT196637:FVT196735 GFP196637:GFP196735 GPL196637:GPL196735 GZH196637:GZH196735 HJD196637:HJD196735 HSZ196637:HSZ196735 ICV196637:ICV196735 IMR196637:IMR196735 IWN196637:IWN196735 JGJ196637:JGJ196735 JQF196637:JQF196735 KAB196637:KAB196735 KJX196637:KJX196735 KTT196637:KTT196735 LDP196637:LDP196735 LNL196637:LNL196735 LXH196637:LXH196735 MHD196637:MHD196735 MQZ196637:MQZ196735 NAV196637:NAV196735 NKR196637:NKR196735 NUN196637:NUN196735 OEJ196637:OEJ196735 OOF196637:OOF196735 OYB196637:OYB196735 PHX196637:PHX196735 PRT196637:PRT196735 QBP196637:QBP196735 QLL196637:QLL196735 QVH196637:QVH196735 RFD196637:RFD196735 ROZ196637:ROZ196735 RYV196637:RYV196735 SIR196637:SIR196735 SSN196637:SSN196735 TCJ196637:TCJ196735 TMF196637:TMF196735 TWB196637:TWB196735 UFX196637:UFX196735 UPT196637:UPT196735 UZP196637:UZP196735 VJL196637:VJL196735 VTH196637:VTH196735 WDD196637:WDD196735 WMZ196637:WMZ196735 WWV196637:WWV196735 KJ262173:KJ262271 UF262173:UF262271 AEB262173:AEB262271 ANX262173:ANX262271 AXT262173:AXT262271 BHP262173:BHP262271 BRL262173:BRL262271 CBH262173:CBH262271 CLD262173:CLD262271 CUZ262173:CUZ262271 DEV262173:DEV262271 DOR262173:DOR262271 DYN262173:DYN262271 EIJ262173:EIJ262271 ESF262173:ESF262271 FCB262173:FCB262271 FLX262173:FLX262271 FVT262173:FVT262271 GFP262173:GFP262271 GPL262173:GPL262271 GZH262173:GZH262271 HJD262173:HJD262271 HSZ262173:HSZ262271 ICV262173:ICV262271 IMR262173:IMR262271 IWN262173:IWN262271 JGJ262173:JGJ262271 JQF262173:JQF262271 KAB262173:KAB262271 KJX262173:KJX262271 KTT262173:KTT262271 LDP262173:LDP262271 LNL262173:LNL262271 LXH262173:LXH262271 MHD262173:MHD262271 MQZ262173:MQZ262271 NAV262173:NAV262271 NKR262173:NKR262271 NUN262173:NUN262271 OEJ262173:OEJ262271 OOF262173:OOF262271 OYB262173:OYB262271 PHX262173:PHX262271 PRT262173:PRT262271 QBP262173:QBP262271 QLL262173:QLL262271 QVH262173:QVH262271 RFD262173:RFD262271 ROZ262173:ROZ262271 RYV262173:RYV262271 SIR262173:SIR262271 SSN262173:SSN262271 TCJ262173:TCJ262271 TMF262173:TMF262271 TWB262173:TWB262271 UFX262173:UFX262271 UPT262173:UPT262271 UZP262173:UZP262271 VJL262173:VJL262271 VTH262173:VTH262271 WDD262173:WDD262271 WMZ262173:WMZ262271 WWV262173:WWV262271 KJ327709:KJ327807 UF327709:UF327807 AEB327709:AEB327807 ANX327709:ANX327807 AXT327709:AXT327807 BHP327709:BHP327807 BRL327709:BRL327807 CBH327709:CBH327807 CLD327709:CLD327807 CUZ327709:CUZ327807 DEV327709:DEV327807 DOR327709:DOR327807 DYN327709:DYN327807 EIJ327709:EIJ327807 ESF327709:ESF327807 FCB327709:FCB327807 FLX327709:FLX327807 FVT327709:FVT327807 GFP327709:GFP327807 GPL327709:GPL327807 GZH327709:GZH327807 HJD327709:HJD327807 HSZ327709:HSZ327807 ICV327709:ICV327807 IMR327709:IMR327807 IWN327709:IWN327807 JGJ327709:JGJ327807 JQF327709:JQF327807 KAB327709:KAB327807 KJX327709:KJX327807 KTT327709:KTT327807 LDP327709:LDP327807 LNL327709:LNL327807 LXH327709:LXH327807 MHD327709:MHD327807 MQZ327709:MQZ327807 NAV327709:NAV327807 NKR327709:NKR327807 NUN327709:NUN327807 OEJ327709:OEJ327807 OOF327709:OOF327807 OYB327709:OYB327807 PHX327709:PHX327807 PRT327709:PRT327807 QBP327709:QBP327807 QLL327709:QLL327807 QVH327709:QVH327807 RFD327709:RFD327807 ROZ327709:ROZ327807 RYV327709:RYV327807 SIR327709:SIR327807 SSN327709:SSN327807 TCJ327709:TCJ327807 TMF327709:TMF327807 TWB327709:TWB327807 UFX327709:UFX327807 UPT327709:UPT327807 UZP327709:UZP327807 VJL327709:VJL327807 VTH327709:VTH327807 WDD327709:WDD327807 WMZ327709:WMZ327807 WWV327709:WWV327807 KJ393245:KJ393343 UF393245:UF393343 AEB393245:AEB393343 ANX393245:ANX393343 AXT393245:AXT393343 BHP393245:BHP393343 BRL393245:BRL393343 CBH393245:CBH393343 CLD393245:CLD393343 CUZ393245:CUZ393343 DEV393245:DEV393343 DOR393245:DOR393343 DYN393245:DYN393343 EIJ393245:EIJ393343 ESF393245:ESF393343 FCB393245:FCB393343 FLX393245:FLX393343 FVT393245:FVT393343 GFP393245:GFP393343 GPL393245:GPL393343 GZH393245:GZH393343 HJD393245:HJD393343 HSZ393245:HSZ393343 ICV393245:ICV393343 IMR393245:IMR393343 IWN393245:IWN393343 JGJ393245:JGJ393343 JQF393245:JQF393343 KAB393245:KAB393343 KJX393245:KJX393343 KTT393245:KTT393343 LDP393245:LDP393343 LNL393245:LNL393343 LXH393245:LXH393343 MHD393245:MHD393343 MQZ393245:MQZ393343 NAV393245:NAV393343 NKR393245:NKR393343 NUN393245:NUN393343 OEJ393245:OEJ393343 OOF393245:OOF393343 OYB393245:OYB393343 PHX393245:PHX393343 PRT393245:PRT393343 QBP393245:QBP393343 QLL393245:QLL393343 QVH393245:QVH393343 RFD393245:RFD393343 ROZ393245:ROZ393343 RYV393245:RYV393343 SIR393245:SIR393343 SSN393245:SSN393343 TCJ393245:TCJ393343 TMF393245:TMF393343 TWB393245:TWB393343 UFX393245:UFX393343 UPT393245:UPT393343 UZP393245:UZP393343 VJL393245:VJL393343 VTH393245:VTH393343 WDD393245:WDD393343 WMZ393245:WMZ393343 WWV393245:WWV393343 KJ458781:KJ458879 UF458781:UF458879 AEB458781:AEB458879 ANX458781:ANX458879 AXT458781:AXT458879 BHP458781:BHP458879 BRL458781:BRL458879 CBH458781:CBH458879 CLD458781:CLD458879 CUZ458781:CUZ458879 DEV458781:DEV458879 DOR458781:DOR458879 DYN458781:DYN458879 EIJ458781:EIJ458879 ESF458781:ESF458879 FCB458781:FCB458879 FLX458781:FLX458879 FVT458781:FVT458879 GFP458781:GFP458879 GPL458781:GPL458879 GZH458781:GZH458879 HJD458781:HJD458879 HSZ458781:HSZ458879 ICV458781:ICV458879 IMR458781:IMR458879 IWN458781:IWN458879 JGJ458781:JGJ458879 JQF458781:JQF458879 KAB458781:KAB458879 KJX458781:KJX458879 KTT458781:KTT458879 LDP458781:LDP458879 LNL458781:LNL458879 LXH458781:LXH458879 MHD458781:MHD458879 MQZ458781:MQZ458879 NAV458781:NAV458879 NKR458781:NKR458879 NUN458781:NUN458879 OEJ458781:OEJ458879 OOF458781:OOF458879 OYB458781:OYB458879 PHX458781:PHX458879 PRT458781:PRT458879 QBP458781:QBP458879 QLL458781:QLL458879 QVH458781:QVH458879 RFD458781:RFD458879 ROZ458781:ROZ458879 RYV458781:RYV458879 SIR458781:SIR458879 SSN458781:SSN458879 TCJ458781:TCJ458879 TMF458781:TMF458879 TWB458781:TWB458879 UFX458781:UFX458879 UPT458781:UPT458879 UZP458781:UZP458879 VJL458781:VJL458879 VTH458781:VTH458879 WDD458781:WDD458879 WMZ458781:WMZ458879 WWV458781:WWV458879 KJ524317:KJ524415 UF524317:UF524415 AEB524317:AEB524415 ANX524317:ANX524415 AXT524317:AXT524415 BHP524317:BHP524415 BRL524317:BRL524415 CBH524317:CBH524415 CLD524317:CLD524415 CUZ524317:CUZ524415 DEV524317:DEV524415 DOR524317:DOR524415 DYN524317:DYN524415 EIJ524317:EIJ524415 ESF524317:ESF524415 FCB524317:FCB524415 FLX524317:FLX524415 FVT524317:FVT524415 GFP524317:GFP524415 GPL524317:GPL524415 GZH524317:GZH524415 HJD524317:HJD524415 HSZ524317:HSZ524415 ICV524317:ICV524415 IMR524317:IMR524415 IWN524317:IWN524415 JGJ524317:JGJ524415 JQF524317:JQF524415 KAB524317:KAB524415 KJX524317:KJX524415 KTT524317:KTT524415 LDP524317:LDP524415 LNL524317:LNL524415 LXH524317:LXH524415 MHD524317:MHD524415 MQZ524317:MQZ524415 NAV524317:NAV524415 NKR524317:NKR524415 NUN524317:NUN524415 OEJ524317:OEJ524415 OOF524317:OOF524415 OYB524317:OYB524415 PHX524317:PHX524415 PRT524317:PRT524415 QBP524317:QBP524415 QLL524317:QLL524415 QVH524317:QVH524415 RFD524317:RFD524415 ROZ524317:ROZ524415 RYV524317:RYV524415 SIR524317:SIR524415 SSN524317:SSN524415 TCJ524317:TCJ524415 TMF524317:TMF524415 TWB524317:TWB524415 UFX524317:UFX524415 UPT524317:UPT524415 UZP524317:UZP524415 VJL524317:VJL524415 VTH524317:VTH524415 WDD524317:WDD524415 WMZ524317:WMZ524415 WWV524317:WWV524415 KJ589853:KJ589951 UF589853:UF589951 AEB589853:AEB589951 ANX589853:ANX589951 AXT589853:AXT589951 BHP589853:BHP589951 BRL589853:BRL589951 CBH589853:CBH589951 CLD589853:CLD589951 CUZ589853:CUZ589951 DEV589853:DEV589951 DOR589853:DOR589951 DYN589853:DYN589951 EIJ589853:EIJ589951 ESF589853:ESF589951 FCB589853:FCB589951 FLX589853:FLX589951 FVT589853:FVT589951 GFP589853:GFP589951 GPL589853:GPL589951 GZH589853:GZH589951 HJD589853:HJD589951 HSZ589853:HSZ589951 ICV589853:ICV589951 IMR589853:IMR589951 IWN589853:IWN589951 JGJ589853:JGJ589951 JQF589853:JQF589951 KAB589853:KAB589951 KJX589853:KJX589951 KTT589853:KTT589951 LDP589853:LDP589951 LNL589853:LNL589951 LXH589853:LXH589951 MHD589853:MHD589951 MQZ589853:MQZ589951 NAV589853:NAV589951 NKR589853:NKR589951 NUN589853:NUN589951 OEJ589853:OEJ589951 OOF589853:OOF589951 OYB589853:OYB589951 PHX589853:PHX589951 PRT589853:PRT589951 QBP589853:QBP589951 QLL589853:QLL589951 QVH589853:QVH589951 RFD589853:RFD589951 ROZ589853:ROZ589951 RYV589853:RYV589951 SIR589853:SIR589951 SSN589853:SSN589951 TCJ589853:TCJ589951 TMF589853:TMF589951 TWB589853:TWB589951 UFX589853:UFX589951 UPT589853:UPT589951 UZP589853:UZP589951 VJL589853:VJL589951 VTH589853:VTH589951 WDD589853:WDD589951 WMZ589853:WMZ589951 WWV589853:WWV589951 KJ655389:KJ655487 UF655389:UF655487 AEB655389:AEB655487 ANX655389:ANX655487 AXT655389:AXT655487 BHP655389:BHP655487 BRL655389:BRL655487 CBH655389:CBH655487 CLD655389:CLD655487 CUZ655389:CUZ655487 DEV655389:DEV655487 DOR655389:DOR655487 DYN655389:DYN655487 EIJ655389:EIJ655487 ESF655389:ESF655487 FCB655389:FCB655487 FLX655389:FLX655487 FVT655389:FVT655487 GFP655389:GFP655487 GPL655389:GPL655487 GZH655389:GZH655487 HJD655389:HJD655487 HSZ655389:HSZ655487 ICV655389:ICV655487 IMR655389:IMR655487 IWN655389:IWN655487 JGJ655389:JGJ655487 JQF655389:JQF655487 KAB655389:KAB655487 KJX655389:KJX655487 KTT655389:KTT655487 LDP655389:LDP655487 LNL655389:LNL655487 LXH655389:LXH655487 MHD655389:MHD655487 MQZ655389:MQZ655487 NAV655389:NAV655487 NKR655389:NKR655487 NUN655389:NUN655487 OEJ655389:OEJ655487 OOF655389:OOF655487 OYB655389:OYB655487 PHX655389:PHX655487 PRT655389:PRT655487 QBP655389:QBP655487 QLL655389:QLL655487 QVH655389:QVH655487 RFD655389:RFD655487 ROZ655389:ROZ655487 RYV655389:RYV655487 SIR655389:SIR655487 SSN655389:SSN655487 TCJ655389:TCJ655487 TMF655389:TMF655487 TWB655389:TWB655487 UFX655389:UFX655487 UPT655389:UPT655487 UZP655389:UZP655487 VJL655389:VJL655487 VTH655389:VTH655487 WDD655389:WDD655487 WMZ655389:WMZ655487 WWV655389:WWV655487 KJ720925:KJ721023 UF720925:UF721023 AEB720925:AEB721023 ANX720925:ANX721023 AXT720925:AXT721023 BHP720925:BHP721023 BRL720925:BRL721023 CBH720925:CBH721023 CLD720925:CLD721023 CUZ720925:CUZ721023 DEV720925:DEV721023 DOR720925:DOR721023 DYN720925:DYN721023 EIJ720925:EIJ721023 ESF720925:ESF721023 FCB720925:FCB721023 FLX720925:FLX721023 FVT720925:FVT721023 GFP720925:GFP721023 GPL720925:GPL721023 GZH720925:GZH721023 HJD720925:HJD721023 HSZ720925:HSZ721023 ICV720925:ICV721023 IMR720925:IMR721023 IWN720925:IWN721023 JGJ720925:JGJ721023 JQF720925:JQF721023 KAB720925:KAB721023 KJX720925:KJX721023 KTT720925:KTT721023 LDP720925:LDP721023 LNL720925:LNL721023 LXH720925:LXH721023 MHD720925:MHD721023 MQZ720925:MQZ721023 NAV720925:NAV721023 NKR720925:NKR721023 NUN720925:NUN721023 OEJ720925:OEJ721023 OOF720925:OOF721023 OYB720925:OYB721023 PHX720925:PHX721023 PRT720925:PRT721023 QBP720925:QBP721023 QLL720925:QLL721023 QVH720925:QVH721023 RFD720925:RFD721023 ROZ720925:ROZ721023 RYV720925:RYV721023 SIR720925:SIR721023 SSN720925:SSN721023 TCJ720925:TCJ721023 TMF720925:TMF721023 TWB720925:TWB721023 UFX720925:UFX721023 UPT720925:UPT721023 UZP720925:UZP721023 VJL720925:VJL721023 VTH720925:VTH721023 WDD720925:WDD721023 WMZ720925:WMZ721023 WWV720925:WWV721023 KJ786461:KJ786559 UF786461:UF786559 AEB786461:AEB786559 ANX786461:ANX786559 AXT786461:AXT786559 BHP786461:BHP786559 BRL786461:BRL786559 CBH786461:CBH786559 CLD786461:CLD786559 CUZ786461:CUZ786559 DEV786461:DEV786559 DOR786461:DOR786559 DYN786461:DYN786559 EIJ786461:EIJ786559 ESF786461:ESF786559 FCB786461:FCB786559 FLX786461:FLX786559 FVT786461:FVT786559 GFP786461:GFP786559 GPL786461:GPL786559 GZH786461:GZH786559 HJD786461:HJD786559 HSZ786461:HSZ786559 ICV786461:ICV786559 IMR786461:IMR786559 IWN786461:IWN786559 JGJ786461:JGJ786559 JQF786461:JQF786559 KAB786461:KAB786559 KJX786461:KJX786559 KTT786461:KTT786559 LDP786461:LDP786559 LNL786461:LNL786559 LXH786461:LXH786559 MHD786461:MHD786559 MQZ786461:MQZ786559 NAV786461:NAV786559 NKR786461:NKR786559 NUN786461:NUN786559 OEJ786461:OEJ786559 OOF786461:OOF786559 OYB786461:OYB786559 PHX786461:PHX786559 PRT786461:PRT786559 QBP786461:QBP786559 QLL786461:QLL786559 QVH786461:QVH786559 RFD786461:RFD786559 ROZ786461:ROZ786559 RYV786461:RYV786559 SIR786461:SIR786559 SSN786461:SSN786559 TCJ786461:TCJ786559 TMF786461:TMF786559 TWB786461:TWB786559 UFX786461:UFX786559 UPT786461:UPT786559 UZP786461:UZP786559 VJL786461:VJL786559 VTH786461:VTH786559 WDD786461:WDD786559 WMZ786461:WMZ786559 WWV786461:WWV786559 KJ851997:KJ852095 UF851997:UF852095 AEB851997:AEB852095 ANX851997:ANX852095 AXT851997:AXT852095 BHP851997:BHP852095 BRL851997:BRL852095 CBH851997:CBH852095 CLD851997:CLD852095 CUZ851997:CUZ852095 DEV851997:DEV852095 DOR851997:DOR852095 DYN851997:DYN852095 EIJ851997:EIJ852095 ESF851997:ESF852095 FCB851997:FCB852095 FLX851997:FLX852095 FVT851997:FVT852095 GFP851997:GFP852095 GPL851997:GPL852095 GZH851997:GZH852095 HJD851997:HJD852095 HSZ851997:HSZ852095 ICV851997:ICV852095 IMR851997:IMR852095 IWN851997:IWN852095 JGJ851997:JGJ852095 JQF851997:JQF852095 KAB851997:KAB852095 KJX851997:KJX852095 KTT851997:KTT852095 LDP851997:LDP852095 LNL851997:LNL852095 LXH851997:LXH852095 MHD851997:MHD852095 MQZ851997:MQZ852095 NAV851997:NAV852095 NKR851997:NKR852095 NUN851997:NUN852095 OEJ851997:OEJ852095 OOF851997:OOF852095 OYB851997:OYB852095 PHX851997:PHX852095 PRT851997:PRT852095 QBP851997:QBP852095 QLL851997:QLL852095 QVH851997:QVH852095 RFD851997:RFD852095 ROZ851997:ROZ852095 RYV851997:RYV852095 SIR851997:SIR852095 SSN851997:SSN852095 TCJ851997:TCJ852095 TMF851997:TMF852095 TWB851997:TWB852095 UFX851997:UFX852095 UPT851997:UPT852095 UZP851997:UZP852095 VJL851997:VJL852095 VTH851997:VTH852095 WDD851997:WDD852095 WMZ851997:WMZ852095 WWV851997:WWV852095 KJ917533:KJ917631 UF917533:UF917631 AEB917533:AEB917631 ANX917533:ANX917631 AXT917533:AXT917631 BHP917533:BHP917631 BRL917533:BRL917631 CBH917533:CBH917631 CLD917533:CLD917631 CUZ917533:CUZ917631 DEV917533:DEV917631 DOR917533:DOR917631 DYN917533:DYN917631 EIJ917533:EIJ917631 ESF917533:ESF917631 FCB917533:FCB917631 FLX917533:FLX917631 FVT917533:FVT917631 GFP917533:GFP917631 GPL917533:GPL917631 GZH917533:GZH917631 HJD917533:HJD917631 HSZ917533:HSZ917631 ICV917533:ICV917631 IMR917533:IMR917631 IWN917533:IWN917631 JGJ917533:JGJ917631 JQF917533:JQF917631 KAB917533:KAB917631 KJX917533:KJX917631 KTT917533:KTT917631 LDP917533:LDP917631 LNL917533:LNL917631 LXH917533:LXH917631 MHD917533:MHD917631 MQZ917533:MQZ917631 NAV917533:NAV917631 NKR917533:NKR917631 NUN917533:NUN917631 OEJ917533:OEJ917631 OOF917533:OOF917631 OYB917533:OYB917631 PHX917533:PHX917631 PRT917533:PRT917631 QBP917533:QBP917631 QLL917533:QLL917631 QVH917533:QVH917631 RFD917533:RFD917631 ROZ917533:ROZ917631 RYV917533:RYV917631 SIR917533:SIR917631 SSN917533:SSN917631 TCJ917533:TCJ917631 TMF917533:TMF917631 TWB917533:TWB917631 UFX917533:UFX917631 UPT917533:UPT917631 UZP917533:UZP917631 VJL917533:VJL917631 VTH917533:VTH917631 WDD917533:WDD917631 WMZ917533:WMZ917631 WWV917533:WWV917631 KJ983069:KJ983167 UF983069:UF983167 AEB983069:AEB983167 ANX983069:ANX983167 AXT983069:AXT983167 BHP983069:BHP983167 BRL983069:BRL983167 CBH983069:CBH983167 CLD983069:CLD983167 CUZ983069:CUZ983167 DEV983069:DEV983167 DOR983069:DOR983167 DYN983069:DYN983167 EIJ983069:EIJ983167 ESF983069:ESF983167 FCB983069:FCB983167 FLX983069:FLX983167 FVT983069:FVT983167 GFP983069:GFP983167 GPL983069:GPL983167 GZH983069:GZH983167 HJD983069:HJD983167 HSZ983069:HSZ983167 ICV983069:ICV983167 IMR983069:IMR983167 IWN983069:IWN983167 JGJ983069:JGJ983167 JQF983069:JQF983167 KAB983069:KAB983167 KJX983069:KJX983167 KTT983069:KTT983167 LDP983069:LDP983167 LNL983069:LNL983167 LXH983069:LXH983167 MHD983069:MHD983167 MQZ983069:MQZ983167 NAV983069:NAV983167 NKR983069:NKR983167 NUN983069:NUN983167 OEJ983069:OEJ983167 OOF983069:OOF983167 OYB983069:OYB983167 PHX983069:PHX983167 PRT983069:PRT983167 QBP983069:QBP983167 QLL983069:QLL983167 QVH983069:QVH983167 RFD983069:RFD983167 ROZ983069:ROZ983167 RYV983069:RYV983167 SIR983069:SIR983167 SSN983069:SSN983167 TCJ983069:TCJ983167 TMF983069:TMF983167 TWB983069:TWB983167 UFX983069:UFX983167 UPT983069:UPT983167 UZP983069:UZP983167 VJL983069:VJL983167 VTH983069:VTH983167 WDD983069:WDD983167 WMZ983069:WMZ983167">
      <formula1>#REF!</formula1>
    </dataValidation>
    <dataValidation type="list" errorStyle="warning" allowBlank="1" showInputMessage="1" showErrorMessage="1" errorTitle="Conversion Result" error="Indicate if, as a result of conversion, the holder receives:_x000a__x000a_Shares - Com/Ord_x000a_Other" sqref="KD28:KD126 V28:V126 TZ28:TZ126 ADV28:ADV126 ANR28:ANR126 AXN28:AXN126 BHJ28:BHJ126 BRF28:BRF126 CBB28:CBB126 CKX28:CKX126 CUT28:CUT126 DEP28:DEP126 DOL28:DOL126 DYH28:DYH126 EID28:EID126 ERZ28:ERZ126 FBV28:FBV126 FLR28:FLR126 FVN28:FVN126 GFJ28:GFJ126 GPF28:GPF126 GZB28:GZB126 HIX28:HIX126 HST28:HST126 ICP28:ICP126 IML28:IML126 IWH28:IWH126 JGD28:JGD126 JPZ28:JPZ126 JZV28:JZV126 KJR28:KJR126 KTN28:KTN126 LDJ28:LDJ126 LNF28:LNF126 LXB28:LXB126 MGX28:MGX126 MQT28:MQT126 NAP28:NAP126 NKL28:NKL126 NUH28:NUH126 OED28:OED126 ONZ28:ONZ126 OXV28:OXV126 PHR28:PHR126 PRN28:PRN126 QBJ28:QBJ126 QLF28:QLF126 QVB28:QVB126 REX28:REX126 ROT28:ROT126 RYP28:RYP126 SIL28:SIL126 SSH28:SSH126 TCD28:TCD126 TLZ28:TLZ126 TVV28:TVV126 UFR28:UFR126 UPN28:UPN126 UZJ28:UZJ126 VJF28:VJF126 VTB28:VTB126 WCX28:WCX126 WMT28:WMT126 WWP28:WWP126 V65564:Z65662 KD65565:KD65663 TZ65565:TZ65663 ADV65565:ADV65663 ANR65565:ANR65663 AXN65565:AXN65663 BHJ65565:BHJ65663 BRF65565:BRF65663 CBB65565:CBB65663 CKX65565:CKX65663 CUT65565:CUT65663 DEP65565:DEP65663 DOL65565:DOL65663 DYH65565:DYH65663 EID65565:EID65663 ERZ65565:ERZ65663 FBV65565:FBV65663 FLR65565:FLR65663 FVN65565:FVN65663 GFJ65565:GFJ65663 GPF65565:GPF65663 GZB65565:GZB65663 HIX65565:HIX65663 HST65565:HST65663 ICP65565:ICP65663 IML65565:IML65663 IWH65565:IWH65663 JGD65565:JGD65663 JPZ65565:JPZ65663 JZV65565:JZV65663 KJR65565:KJR65663 KTN65565:KTN65663 LDJ65565:LDJ65663 LNF65565:LNF65663 LXB65565:LXB65663 MGX65565:MGX65663 MQT65565:MQT65663 NAP65565:NAP65663 NKL65565:NKL65663 NUH65565:NUH65663 OED65565:OED65663 ONZ65565:ONZ65663 OXV65565:OXV65663 PHR65565:PHR65663 PRN65565:PRN65663 QBJ65565:QBJ65663 QLF65565:QLF65663 QVB65565:QVB65663 REX65565:REX65663 ROT65565:ROT65663 RYP65565:RYP65663 SIL65565:SIL65663 SSH65565:SSH65663 TCD65565:TCD65663 TLZ65565:TLZ65663 TVV65565:TVV65663 UFR65565:UFR65663 UPN65565:UPN65663 UZJ65565:UZJ65663 VJF65565:VJF65663 VTB65565:VTB65663 WCX65565:WCX65663 WMT65565:WMT65663 WWP65565:WWP65663 V131100:Z131198 KD131101:KD131199 TZ131101:TZ131199 ADV131101:ADV131199 ANR131101:ANR131199 AXN131101:AXN131199 BHJ131101:BHJ131199 BRF131101:BRF131199 CBB131101:CBB131199 CKX131101:CKX131199 CUT131101:CUT131199 DEP131101:DEP131199 DOL131101:DOL131199 DYH131101:DYH131199 EID131101:EID131199 ERZ131101:ERZ131199 FBV131101:FBV131199 FLR131101:FLR131199 FVN131101:FVN131199 GFJ131101:GFJ131199 GPF131101:GPF131199 GZB131101:GZB131199 HIX131101:HIX131199 HST131101:HST131199 ICP131101:ICP131199 IML131101:IML131199 IWH131101:IWH131199 JGD131101:JGD131199 JPZ131101:JPZ131199 JZV131101:JZV131199 KJR131101:KJR131199 KTN131101:KTN131199 LDJ131101:LDJ131199 LNF131101:LNF131199 LXB131101:LXB131199 MGX131101:MGX131199 MQT131101:MQT131199 NAP131101:NAP131199 NKL131101:NKL131199 NUH131101:NUH131199 OED131101:OED131199 ONZ131101:ONZ131199 OXV131101:OXV131199 PHR131101:PHR131199 PRN131101:PRN131199 QBJ131101:QBJ131199 QLF131101:QLF131199 QVB131101:QVB131199 REX131101:REX131199 ROT131101:ROT131199 RYP131101:RYP131199 SIL131101:SIL131199 SSH131101:SSH131199 TCD131101:TCD131199 TLZ131101:TLZ131199 TVV131101:TVV131199 UFR131101:UFR131199 UPN131101:UPN131199 UZJ131101:UZJ131199 VJF131101:VJF131199 VTB131101:VTB131199 WCX131101:WCX131199 WMT131101:WMT131199 WWP131101:WWP131199 V196636:Z196734 KD196637:KD196735 TZ196637:TZ196735 ADV196637:ADV196735 ANR196637:ANR196735 AXN196637:AXN196735 BHJ196637:BHJ196735 BRF196637:BRF196735 CBB196637:CBB196735 CKX196637:CKX196735 CUT196637:CUT196735 DEP196637:DEP196735 DOL196637:DOL196735 DYH196637:DYH196735 EID196637:EID196735 ERZ196637:ERZ196735 FBV196637:FBV196735 FLR196637:FLR196735 FVN196637:FVN196735 GFJ196637:GFJ196735 GPF196637:GPF196735 GZB196637:GZB196735 HIX196637:HIX196735 HST196637:HST196735 ICP196637:ICP196735 IML196637:IML196735 IWH196637:IWH196735 JGD196637:JGD196735 JPZ196637:JPZ196735 JZV196637:JZV196735 KJR196637:KJR196735 KTN196637:KTN196735 LDJ196637:LDJ196735 LNF196637:LNF196735 LXB196637:LXB196735 MGX196637:MGX196735 MQT196637:MQT196735 NAP196637:NAP196735 NKL196637:NKL196735 NUH196637:NUH196735 OED196637:OED196735 ONZ196637:ONZ196735 OXV196637:OXV196735 PHR196637:PHR196735 PRN196637:PRN196735 QBJ196637:QBJ196735 QLF196637:QLF196735 QVB196637:QVB196735 REX196637:REX196735 ROT196637:ROT196735 RYP196637:RYP196735 SIL196637:SIL196735 SSH196637:SSH196735 TCD196637:TCD196735 TLZ196637:TLZ196735 TVV196637:TVV196735 UFR196637:UFR196735 UPN196637:UPN196735 UZJ196637:UZJ196735 VJF196637:VJF196735 VTB196637:VTB196735 WCX196637:WCX196735 WMT196637:WMT196735 WWP196637:WWP196735 V262172:Z262270 KD262173:KD262271 TZ262173:TZ262271 ADV262173:ADV262271 ANR262173:ANR262271 AXN262173:AXN262271 BHJ262173:BHJ262271 BRF262173:BRF262271 CBB262173:CBB262271 CKX262173:CKX262271 CUT262173:CUT262271 DEP262173:DEP262271 DOL262173:DOL262271 DYH262173:DYH262271 EID262173:EID262271 ERZ262173:ERZ262271 FBV262173:FBV262271 FLR262173:FLR262271 FVN262173:FVN262271 GFJ262173:GFJ262271 GPF262173:GPF262271 GZB262173:GZB262271 HIX262173:HIX262271 HST262173:HST262271 ICP262173:ICP262271 IML262173:IML262271 IWH262173:IWH262271 JGD262173:JGD262271 JPZ262173:JPZ262271 JZV262173:JZV262271 KJR262173:KJR262271 KTN262173:KTN262271 LDJ262173:LDJ262271 LNF262173:LNF262271 LXB262173:LXB262271 MGX262173:MGX262271 MQT262173:MQT262271 NAP262173:NAP262271 NKL262173:NKL262271 NUH262173:NUH262271 OED262173:OED262271 ONZ262173:ONZ262271 OXV262173:OXV262271 PHR262173:PHR262271 PRN262173:PRN262271 QBJ262173:QBJ262271 QLF262173:QLF262271 QVB262173:QVB262271 REX262173:REX262271 ROT262173:ROT262271 RYP262173:RYP262271 SIL262173:SIL262271 SSH262173:SSH262271 TCD262173:TCD262271 TLZ262173:TLZ262271 TVV262173:TVV262271 UFR262173:UFR262271 UPN262173:UPN262271 UZJ262173:UZJ262271 VJF262173:VJF262271 VTB262173:VTB262271 WCX262173:WCX262271 WMT262173:WMT262271 WWP262173:WWP262271 V327708:Z327806 KD327709:KD327807 TZ327709:TZ327807 ADV327709:ADV327807 ANR327709:ANR327807 AXN327709:AXN327807 BHJ327709:BHJ327807 BRF327709:BRF327807 CBB327709:CBB327807 CKX327709:CKX327807 CUT327709:CUT327807 DEP327709:DEP327807 DOL327709:DOL327807 DYH327709:DYH327807 EID327709:EID327807 ERZ327709:ERZ327807 FBV327709:FBV327807 FLR327709:FLR327807 FVN327709:FVN327807 GFJ327709:GFJ327807 GPF327709:GPF327807 GZB327709:GZB327807 HIX327709:HIX327807 HST327709:HST327807 ICP327709:ICP327807 IML327709:IML327807 IWH327709:IWH327807 JGD327709:JGD327807 JPZ327709:JPZ327807 JZV327709:JZV327807 KJR327709:KJR327807 KTN327709:KTN327807 LDJ327709:LDJ327807 LNF327709:LNF327807 LXB327709:LXB327807 MGX327709:MGX327807 MQT327709:MQT327807 NAP327709:NAP327807 NKL327709:NKL327807 NUH327709:NUH327807 OED327709:OED327807 ONZ327709:ONZ327807 OXV327709:OXV327807 PHR327709:PHR327807 PRN327709:PRN327807 QBJ327709:QBJ327807 QLF327709:QLF327807 QVB327709:QVB327807 REX327709:REX327807 ROT327709:ROT327807 RYP327709:RYP327807 SIL327709:SIL327807 SSH327709:SSH327807 TCD327709:TCD327807 TLZ327709:TLZ327807 TVV327709:TVV327807 UFR327709:UFR327807 UPN327709:UPN327807 UZJ327709:UZJ327807 VJF327709:VJF327807 VTB327709:VTB327807 WCX327709:WCX327807 WMT327709:WMT327807 WWP327709:WWP327807 V393244:Z393342 KD393245:KD393343 TZ393245:TZ393343 ADV393245:ADV393343 ANR393245:ANR393343 AXN393245:AXN393343 BHJ393245:BHJ393343 BRF393245:BRF393343 CBB393245:CBB393343 CKX393245:CKX393343 CUT393245:CUT393343 DEP393245:DEP393343 DOL393245:DOL393343 DYH393245:DYH393343 EID393245:EID393343 ERZ393245:ERZ393343 FBV393245:FBV393343 FLR393245:FLR393343 FVN393245:FVN393343 GFJ393245:GFJ393343 GPF393245:GPF393343 GZB393245:GZB393343 HIX393245:HIX393343 HST393245:HST393343 ICP393245:ICP393343 IML393245:IML393343 IWH393245:IWH393343 JGD393245:JGD393343 JPZ393245:JPZ393343 JZV393245:JZV393343 KJR393245:KJR393343 KTN393245:KTN393343 LDJ393245:LDJ393343 LNF393245:LNF393343 LXB393245:LXB393343 MGX393245:MGX393343 MQT393245:MQT393343 NAP393245:NAP393343 NKL393245:NKL393343 NUH393245:NUH393343 OED393245:OED393343 ONZ393245:ONZ393343 OXV393245:OXV393343 PHR393245:PHR393343 PRN393245:PRN393343 QBJ393245:QBJ393343 QLF393245:QLF393343 QVB393245:QVB393343 REX393245:REX393343 ROT393245:ROT393343 RYP393245:RYP393343 SIL393245:SIL393343 SSH393245:SSH393343 TCD393245:TCD393343 TLZ393245:TLZ393343 TVV393245:TVV393343 UFR393245:UFR393343 UPN393245:UPN393343 UZJ393245:UZJ393343 VJF393245:VJF393343 VTB393245:VTB393343 WCX393245:WCX393343 WMT393245:WMT393343 WWP393245:WWP393343 V458780:Z458878 KD458781:KD458879 TZ458781:TZ458879 ADV458781:ADV458879 ANR458781:ANR458879 AXN458781:AXN458879 BHJ458781:BHJ458879 BRF458781:BRF458879 CBB458781:CBB458879 CKX458781:CKX458879 CUT458781:CUT458879 DEP458781:DEP458879 DOL458781:DOL458879 DYH458781:DYH458879 EID458781:EID458879 ERZ458781:ERZ458879 FBV458781:FBV458879 FLR458781:FLR458879 FVN458781:FVN458879 GFJ458781:GFJ458879 GPF458781:GPF458879 GZB458781:GZB458879 HIX458781:HIX458879 HST458781:HST458879 ICP458781:ICP458879 IML458781:IML458879 IWH458781:IWH458879 JGD458781:JGD458879 JPZ458781:JPZ458879 JZV458781:JZV458879 KJR458781:KJR458879 KTN458781:KTN458879 LDJ458781:LDJ458879 LNF458781:LNF458879 LXB458781:LXB458879 MGX458781:MGX458879 MQT458781:MQT458879 NAP458781:NAP458879 NKL458781:NKL458879 NUH458781:NUH458879 OED458781:OED458879 ONZ458781:ONZ458879 OXV458781:OXV458879 PHR458781:PHR458879 PRN458781:PRN458879 QBJ458781:QBJ458879 QLF458781:QLF458879 QVB458781:QVB458879 REX458781:REX458879 ROT458781:ROT458879 RYP458781:RYP458879 SIL458781:SIL458879 SSH458781:SSH458879 TCD458781:TCD458879 TLZ458781:TLZ458879 TVV458781:TVV458879 UFR458781:UFR458879 UPN458781:UPN458879 UZJ458781:UZJ458879 VJF458781:VJF458879 VTB458781:VTB458879 WCX458781:WCX458879 WMT458781:WMT458879 WWP458781:WWP458879 V524316:Z524414 KD524317:KD524415 TZ524317:TZ524415 ADV524317:ADV524415 ANR524317:ANR524415 AXN524317:AXN524415 BHJ524317:BHJ524415 BRF524317:BRF524415 CBB524317:CBB524415 CKX524317:CKX524415 CUT524317:CUT524415 DEP524317:DEP524415 DOL524317:DOL524415 DYH524317:DYH524415 EID524317:EID524415 ERZ524317:ERZ524415 FBV524317:FBV524415 FLR524317:FLR524415 FVN524317:FVN524415 GFJ524317:GFJ524415 GPF524317:GPF524415 GZB524317:GZB524415 HIX524317:HIX524415 HST524317:HST524415 ICP524317:ICP524415 IML524317:IML524415 IWH524317:IWH524415 JGD524317:JGD524415 JPZ524317:JPZ524415 JZV524317:JZV524415 KJR524317:KJR524415 KTN524317:KTN524415 LDJ524317:LDJ524415 LNF524317:LNF524415 LXB524317:LXB524415 MGX524317:MGX524415 MQT524317:MQT524415 NAP524317:NAP524415 NKL524317:NKL524415 NUH524317:NUH524415 OED524317:OED524415 ONZ524317:ONZ524415 OXV524317:OXV524415 PHR524317:PHR524415 PRN524317:PRN524415 QBJ524317:QBJ524415 QLF524317:QLF524415 QVB524317:QVB524415 REX524317:REX524415 ROT524317:ROT524415 RYP524317:RYP524415 SIL524317:SIL524415 SSH524317:SSH524415 TCD524317:TCD524415 TLZ524317:TLZ524415 TVV524317:TVV524415 UFR524317:UFR524415 UPN524317:UPN524415 UZJ524317:UZJ524415 VJF524317:VJF524415 VTB524317:VTB524415 WCX524317:WCX524415 WMT524317:WMT524415 WWP524317:WWP524415 V589852:Z589950 KD589853:KD589951 TZ589853:TZ589951 ADV589853:ADV589951 ANR589853:ANR589951 AXN589853:AXN589951 BHJ589853:BHJ589951 BRF589853:BRF589951 CBB589853:CBB589951 CKX589853:CKX589951 CUT589853:CUT589951 DEP589853:DEP589951 DOL589853:DOL589951 DYH589853:DYH589951 EID589853:EID589951 ERZ589853:ERZ589951 FBV589853:FBV589951 FLR589853:FLR589951 FVN589853:FVN589951 GFJ589853:GFJ589951 GPF589853:GPF589951 GZB589853:GZB589951 HIX589853:HIX589951 HST589853:HST589951 ICP589853:ICP589951 IML589853:IML589951 IWH589853:IWH589951 JGD589853:JGD589951 JPZ589853:JPZ589951 JZV589853:JZV589951 KJR589853:KJR589951 KTN589853:KTN589951 LDJ589853:LDJ589951 LNF589853:LNF589951 LXB589853:LXB589951 MGX589853:MGX589951 MQT589853:MQT589951 NAP589853:NAP589951 NKL589853:NKL589951 NUH589853:NUH589951 OED589853:OED589951 ONZ589853:ONZ589951 OXV589853:OXV589951 PHR589853:PHR589951 PRN589853:PRN589951 QBJ589853:QBJ589951 QLF589853:QLF589951 QVB589853:QVB589951 REX589853:REX589951 ROT589853:ROT589951 RYP589853:RYP589951 SIL589853:SIL589951 SSH589853:SSH589951 TCD589853:TCD589951 TLZ589853:TLZ589951 TVV589853:TVV589951 UFR589853:UFR589951 UPN589853:UPN589951 UZJ589853:UZJ589951 VJF589853:VJF589951 VTB589853:VTB589951 WCX589853:WCX589951 WMT589853:WMT589951 WWP589853:WWP589951 V655388:Z655486 KD655389:KD655487 TZ655389:TZ655487 ADV655389:ADV655487 ANR655389:ANR655487 AXN655389:AXN655487 BHJ655389:BHJ655487 BRF655389:BRF655487 CBB655389:CBB655487 CKX655389:CKX655487 CUT655389:CUT655487 DEP655389:DEP655487 DOL655389:DOL655487 DYH655389:DYH655487 EID655389:EID655487 ERZ655389:ERZ655487 FBV655389:FBV655487 FLR655389:FLR655487 FVN655389:FVN655487 GFJ655389:GFJ655487 GPF655389:GPF655487 GZB655389:GZB655487 HIX655389:HIX655487 HST655389:HST655487 ICP655389:ICP655487 IML655389:IML655487 IWH655389:IWH655487 JGD655389:JGD655487 JPZ655389:JPZ655487 JZV655389:JZV655487 KJR655389:KJR655487 KTN655389:KTN655487 LDJ655389:LDJ655487 LNF655389:LNF655487 LXB655389:LXB655487 MGX655389:MGX655487 MQT655389:MQT655487 NAP655389:NAP655487 NKL655389:NKL655487 NUH655389:NUH655487 OED655389:OED655487 ONZ655389:ONZ655487 OXV655389:OXV655487 PHR655389:PHR655487 PRN655389:PRN655487 QBJ655389:QBJ655487 QLF655389:QLF655487 QVB655389:QVB655487 REX655389:REX655487 ROT655389:ROT655487 RYP655389:RYP655487 SIL655389:SIL655487 SSH655389:SSH655487 TCD655389:TCD655487 TLZ655389:TLZ655487 TVV655389:TVV655487 UFR655389:UFR655487 UPN655389:UPN655487 UZJ655389:UZJ655487 VJF655389:VJF655487 VTB655389:VTB655487 WCX655389:WCX655487 WMT655389:WMT655487 WWP655389:WWP655487 V720924:Z721022 KD720925:KD721023 TZ720925:TZ721023 ADV720925:ADV721023 ANR720925:ANR721023 AXN720925:AXN721023 BHJ720925:BHJ721023 BRF720925:BRF721023 CBB720925:CBB721023 CKX720925:CKX721023 CUT720925:CUT721023 DEP720925:DEP721023 DOL720925:DOL721023 DYH720925:DYH721023 EID720925:EID721023 ERZ720925:ERZ721023 FBV720925:FBV721023 FLR720925:FLR721023 FVN720925:FVN721023 GFJ720925:GFJ721023 GPF720925:GPF721023 GZB720925:GZB721023 HIX720925:HIX721023 HST720925:HST721023 ICP720925:ICP721023 IML720925:IML721023 IWH720925:IWH721023 JGD720925:JGD721023 JPZ720925:JPZ721023 JZV720925:JZV721023 KJR720925:KJR721023 KTN720925:KTN721023 LDJ720925:LDJ721023 LNF720925:LNF721023 LXB720925:LXB721023 MGX720925:MGX721023 MQT720925:MQT721023 NAP720925:NAP721023 NKL720925:NKL721023 NUH720925:NUH721023 OED720925:OED721023 ONZ720925:ONZ721023 OXV720925:OXV721023 PHR720925:PHR721023 PRN720925:PRN721023 QBJ720925:QBJ721023 QLF720925:QLF721023 QVB720925:QVB721023 REX720925:REX721023 ROT720925:ROT721023 RYP720925:RYP721023 SIL720925:SIL721023 SSH720925:SSH721023 TCD720925:TCD721023 TLZ720925:TLZ721023 TVV720925:TVV721023 UFR720925:UFR721023 UPN720925:UPN721023 UZJ720925:UZJ721023 VJF720925:VJF721023 VTB720925:VTB721023 WCX720925:WCX721023 WMT720925:WMT721023 WWP720925:WWP721023 V786460:Z786558 KD786461:KD786559 TZ786461:TZ786559 ADV786461:ADV786559 ANR786461:ANR786559 AXN786461:AXN786559 BHJ786461:BHJ786559 BRF786461:BRF786559 CBB786461:CBB786559 CKX786461:CKX786559 CUT786461:CUT786559 DEP786461:DEP786559 DOL786461:DOL786559 DYH786461:DYH786559 EID786461:EID786559 ERZ786461:ERZ786559 FBV786461:FBV786559 FLR786461:FLR786559 FVN786461:FVN786559 GFJ786461:GFJ786559 GPF786461:GPF786559 GZB786461:GZB786559 HIX786461:HIX786559 HST786461:HST786559 ICP786461:ICP786559 IML786461:IML786559 IWH786461:IWH786559 JGD786461:JGD786559 JPZ786461:JPZ786559 JZV786461:JZV786559 KJR786461:KJR786559 KTN786461:KTN786559 LDJ786461:LDJ786559 LNF786461:LNF786559 LXB786461:LXB786559 MGX786461:MGX786559 MQT786461:MQT786559 NAP786461:NAP786559 NKL786461:NKL786559 NUH786461:NUH786559 OED786461:OED786559 ONZ786461:ONZ786559 OXV786461:OXV786559 PHR786461:PHR786559 PRN786461:PRN786559 QBJ786461:QBJ786559 QLF786461:QLF786559 QVB786461:QVB786559 REX786461:REX786559 ROT786461:ROT786559 RYP786461:RYP786559 SIL786461:SIL786559 SSH786461:SSH786559 TCD786461:TCD786559 TLZ786461:TLZ786559 TVV786461:TVV786559 UFR786461:UFR786559 UPN786461:UPN786559 UZJ786461:UZJ786559 VJF786461:VJF786559 VTB786461:VTB786559 WCX786461:WCX786559 WMT786461:WMT786559 WWP786461:WWP786559 V851996:Z852094 KD851997:KD852095 TZ851997:TZ852095 ADV851997:ADV852095 ANR851997:ANR852095 AXN851997:AXN852095 BHJ851997:BHJ852095 BRF851997:BRF852095 CBB851997:CBB852095 CKX851997:CKX852095 CUT851997:CUT852095 DEP851997:DEP852095 DOL851997:DOL852095 DYH851997:DYH852095 EID851997:EID852095 ERZ851997:ERZ852095 FBV851997:FBV852095 FLR851997:FLR852095 FVN851997:FVN852095 GFJ851997:GFJ852095 GPF851997:GPF852095 GZB851997:GZB852095 HIX851997:HIX852095 HST851997:HST852095 ICP851997:ICP852095 IML851997:IML852095 IWH851997:IWH852095 JGD851997:JGD852095 JPZ851997:JPZ852095 JZV851997:JZV852095 KJR851997:KJR852095 KTN851997:KTN852095 LDJ851997:LDJ852095 LNF851997:LNF852095 LXB851997:LXB852095 MGX851997:MGX852095 MQT851997:MQT852095 NAP851997:NAP852095 NKL851997:NKL852095 NUH851997:NUH852095 OED851997:OED852095 ONZ851997:ONZ852095 OXV851997:OXV852095 PHR851997:PHR852095 PRN851997:PRN852095 QBJ851997:QBJ852095 QLF851997:QLF852095 QVB851997:QVB852095 REX851997:REX852095 ROT851997:ROT852095 RYP851997:RYP852095 SIL851997:SIL852095 SSH851997:SSH852095 TCD851997:TCD852095 TLZ851997:TLZ852095 TVV851997:TVV852095 UFR851997:UFR852095 UPN851997:UPN852095 UZJ851997:UZJ852095 VJF851997:VJF852095 VTB851997:VTB852095 WCX851997:WCX852095 WMT851997:WMT852095 WWP851997:WWP852095 V917532:Z917630 KD917533:KD917631 TZ917533:TZ917631 ADV917533:ADV917631 ANR917533:ANR917631 AXN917533:AXN917631 BHJ917533:BHJ917631 BRF917533:BRF917631 CBB917533:CBB917631 CKX917533:CKX917631 CUT917533:CUT917631 DEP917533:DEP917631 DOL917533:DOL917631 DYH917533:DYH917631 EID917533:EID917631 ERZ917533:ERZ917631 FBV917533:FBV917631 FLR917533:FLR917631 FVN917533:FVN917631 GFJ917533:GFJ917631 GPF917533:GPF917631 GZB917533:GZB917631 HIX917533:HIX917631 HST917533:HST917631 ICP917533:ICP917631 IML917533:IML917631 IWH917533:IWH917631 JGD917533:JGD917631 JPZ917533:JPZ917631 JZV917533:JZV917631 KJR917533:KJR917631 KTN917533:KTN917631 LDJ917533:LDJ917631 LNF917533:LNF917631 LXB917533:LXB917631 MGX917533:MGX917631 MQT917533:MQT917631 NAP917533:NAP917631 NKL917533:NKL917631 NUH917533:NUH917631 OED917533:OED917631 ONZ917533:ONZ917631 OXV917533:OXV917631 PHR917533:PHR917631 PRN917533:PRN917631 QBJ917533:QBJ917631 QLF917533:QLF917631 QVB917533:QVB917631 REX917533:REX917631 ROT917533:ROT917631 RYP917533:RYP917631 SIL917533:SIL917631 SSH917533:SSH917631 TCD917533:TCD917631 TLZ917533:TLZ917631 TVV917533:TVV917631 UFR917533:UFR917631 UPN917533:UPN917631 UZJ917533:UZJ917631 VJF917533:VJF917631 VTB917533:VTB917631 WCX917533:WCX917631 WMT917533:WMT917631 WWP917533:WWP917631 V983068:Z983166 KD983069:KD983167 TZ983069:TZ983167 ADV983069:ADV983167 ANR983069:ANR983167 AXN983069:AXN983167 BHJ983069:BHJ983167 BRF983069:BRF983167 CBB983069:CBB983167 CKX983069:CKX983167 CUT983069:CUT983167 DEP983069:DEP983167 DOL983069:DOL983167 DYH983069:DYH983167 EID983069:EID983167 ERZ983069:ERZ983167 FBV983069:FBV983167 FLR983069:FLR983167 FVN983069:FVN983167 GFJ983069:GFJ983167 GPF983069:GPF983167 GZB983069:GZB983167 HIX983069:HIX983167 HST983069:HST983167 ICP983069:ICP983167 IML983069:IML983167 IWH983069:IWH983167 JGD983069:JGD983167 JPZ983069:JPZ983167 JZV983069:JZV983167 KJR983069:KJR983167 KTN983069:KTN983167 LDJ983069:LDJ983167 LNF983069:LNF983167 LXB983069:LXB983167 MGX983069:MGX983167 MQT983069:MQT983167 NAP983069:NAP983167 NKL983069:NKL983167 NUH983069:NUH983167 OED983069:OED983167 ONZ983069:ONZ983167 OXV983069:OXV983167 PHR983069:PHR983167 PRN983069:PRN983167 QBJ983069:QBJ983167 QLF983069:QLF983167 QVB983069:QVB983167 REX983069:REX983167 ROT983069:ROT983167 RYP983069:RYP983167 SIL983069:SIL983167 SSH983069:SSH983167 TCD983069:TCD983167 TLZ983069:TLZ983167 TVV983069:TVV983167 UFR983069:UFR983167 UPN983069:UPN983167 UZJ983069:UZJ983167 VJF983069:VJF983167 VTB983069:VTB983167 WCX983069:WCX983167 WMT983069:WMT983167 WWP983069:WWP983167">
      <formula1>$V$136:$V$137</formula1>
    </dataValidation>
    <dataValidation type="list" errorStyle="warning" allowBlank="1" showErrorMessage="1" errorTitle="Y or N" error="Input either:_x000a__x000a_Y = Yes_x000a_N = No" promptTitle="Y or N" prompt="Input either:_x000a__x000a_Y = Yes_x000a_N = No" sqref="KA28:KB126 AD917533:AE917533 AA917533 AA851997 AA786461 AA720925 AA655389 AA589853 AA524317 AA458781 AA393245 AA327709 AA262173 AA196637 AA131101 AA65565 AA983069 R27:S126 TW28:TX126 ADS28:ADT126 ANO28:ANP126 AXK28:AXL126 BHG28:BHH126 BRC28:BRD126 CAY28:CAZ126 CKU28:CKV126 CUQ28:CUR126 DEM28:DEN126 DOI28:DOJ126 DYE28:DYF126 EIA28:EIB126 ERW28:ERX126 FBS28:FBT126 FLO28:FLP126 FVK28:FVL126 GFG28:GFH126 GPC28:GPD126 GYY28:GYZ126 HIU28:HIV126 HSQ28:HSR126 ICM28:ICN126 IMI28:IMJ126 IWE28:IWF126 JGA28:JGB126 JPW28:JPX126 JZS28:JZT126 KJO28:KJP126 KTK28:KTL126 LDG28:LDH126 LNC28:LND126 LWY28:LWZ126 MGU28:MGV126 MQQ28:MQR126 NAM28:NAN126 NKI28:NKJ126 NUE28:NUF126 OEA28:OEB126 ONW28:ONX126 OXS28:OXT126 PHO28:PHP126 PRK28:PRL126 QBG28:QBH126 QLC28:QLD126 QUY28:QUZ126 REU28:REV126 ROQ28:ROR126 RYM28:RYN126 SII28:SIJ126 SSE28:SSF126 TCA28:TCB126 TLW28:TLX126 TVS28:TVT126 UFO28:UFP126 UPK28:UPL126 UZG28:UZH126 VJC28:VJD126 VSY28:VSZ126 WCU28:WCV126 WMQ28:WMR126 WWM28:WWN126 R65565:T65663 KA65565:KB65663 TW65565:TX65663 ADS65565:ADT65663 ANO65565:ANP65663 AXK65565:AXL65663 BHG65565:BHH65663 BRC65565:BRD65663 CAY65565:CAZ65663 CKU65565:CKV65663 CUQ65565:CUR65663 DEM65565:DEN65663 DOI65565:DOJ65663 DYE65565:DYF65663 EIA65565:EIB65663 ERW65565:ERX65663 FBS65565:FBT65663 FLO65565:FLP65663 FVK65565:FVL65663 GFG65565:GFH65663 GPC65565:GPD65663 GYY65565:GYZ65663 HIU65565:HIV65663 HSQ65565:HSR65663 ICM65565:ICN65663 IMI65565:IMJ65663 IWE65565:IWF65663 JGA65565:JGB65663 JPW65565:JPX65663 JZS65565:JZT65663 KJO65565:KJP65663 KTK65565:KTL65663 LDG65565:LDH65663 LNC65565:LND65663 LWY65565:LWZ65663 MGU65565:MGV65663 MQQ65565:MQR65663 NAM65565:NAN65663 NKI65565:NKJ65663 NUE65565:NUF65663 OEA65565:OEB65663 ONW65565:ONX65663 OXS65565:OXT65663 PHO65565:PHP65663 PRK65565:PRL65663 QBG65565:QBH65663 QLC65565:QLD65663 QUY65565:QUZ65663 REU65565:REV65663 ROQ65565:ROR65663 RYM65565:RYN65663 SII65565:SIJ65663 SSE65565:SSF65663 TCA65565:TCB65663 TLW65565:TLX65663 TVS65565:TVT65663 UFO65565:UFP65663 UPK65565:UPL65663 UZG65565:UZH65663 VJC65565:VJD65663 VSY65565:VSZ65663 WCU65565:WCV65663 WMQ65565:WMR65663 WWM65565:WWN65663 R131101:T131199 KA131101:KB131199 TW131101:TX131199 ADS131101:ADT131199 ANO131101:ANP131199 AXK131101:AXL131199 BHG131101:BHH131199 BRC131101:BRD131199 CAY131101:CAZ131199 CKU131101:CKV131199 CUQ131101:CUR131199 DEM131101:DEN131199 DOI131101:DOJ131199 DYE131101:DYF131199 EIA131101:EIB131199 ERW131101:ERX131199 FBS131101:FBT131199 FLO131101:FLP131199 FVK131101:FVL131199 GFG131101:GFH131199 GPC131101:GPD131199 GYY131101:GYZ131199 HIU131101:HIV131199 HSQ131101:HSR131199 ICM131101:ICN131199 IMI131101:IMJ131199 IWE131101:IWF131199 JGA131101:JGB131199 JPW131101:JPX131199 JZS131101:JZT131199 KJO131101:KJP131199 KTK131101:KTL131199 LDG131101:LDH131199 LNC131101:LND131199 LWY131101:LWZ131199 MGU131101:MGV131199 MQQ131101:MQR131199 NAM131101:NAN131199 NKI131101:NKJ131199 NUE131101:NUF131199 OEA131101:OEB131199 ONW131101:ONX131199 OXS131101:OXT131199 PHO131101:PHP131199 PRK131101:PRL131199 QBG131101:QBH131199 QLC131101:QLD131199 QUY131101:QUZ131199 REU131101:REV131199 ROQ131101:ROR131199 RYM131101:RYN131199 SII131101:SIJ131199 SSE131101:SSF131199 TCA131101:TCB131199 TLW131101:TLX131199 TVS131101:TVT131199 UFO131101:UFP131199 UPK131101:UPL131199 UZG131101:UZH131199 VJC131101:VJD131199 VSY131101:VSZ131199 WCU131101:WCV131199 WMQ131101:WMR131199 WWM131101:WWN131199 R196637:T196735 KA196637:KB196735 TW196637:TX196735 ADS196637:ADT196735 ANO196637:ANP196735 AXK196637:AXL196735 BHG196637:BHH196735 BRC196637:BRD196735 CAY196637:CAZ196735 CKU196637:CKV196735 CUQ196637:CUR196735 DEM196637:DEN196735 DOI196637:DOJ196735 DYE196637:DYF196735 EIA196637:EIB196735 ERW196637:ERX196735 FBS196637:FBT196735 FLO196637:FLP196735 FVK196637:FVL196735 GFG196637:GFH196735 GPC196637:GPD196735 GYY196637:GYZ196735 HIU196637:HIV196735 HSQ196637:HSR196735 ICM196637:ICN196735 IMI196637:IMJ196735 IWE196637:IWF196735 JGA196637:JGB196735 JPW196637:JPX196735 JZS196637:JZT196735 KJO196637:KJP196735 KTK196637:KTL196735 LDG196637:LDH196735 LNC196637:LND196735 LWY196637:LWZ196735 MGU196637:MGV196735 MQQ196637:MQR196735 NAM196637:NAN196735 NKI196637:NKJ196735 NUE196637:NUF196735 OEA196637:OEB196735 ONW196637:ONX196735 OXS196637:OXT196735 PHO196637:PHP196735 PRK196637:PRL196735 QBG196637:QBH196735 QLC196637:QLD196735 QUY196637:QUZ196735 REU196637:REV196735 ROQ196637:ROR196735 RYM196637:RYN196735 SII196637:SIJ196735 SSE196637:SSF196735 TCA196637:TCB196735 TLW196637:TLX196735 TVS196637:TVT196735 UFO196637:UFP196735 UPK196637:UPL196735 UZG196637:UZH196735 VJC196637:VJD196735 VSY196637:VSZ196735 WCU196637:WCV196735 WMQ196637:WMR196735 WWM196637:WWN196735 R262173:T262271 KA262173:KB262271 TW262173:TX262271 ADS262173:ADT262271 ANO262173:ANP262271 AXK262173:AXL262271 BHG262173:BHH262271 BRC262173:BRD262271 CAY262173:CAZ262271 CKU262173:CKV262271 CUQ262173:CUR262271 DEM262173:DEN262271 DOI262173:DOJ262271 DYE262173:DYF262271 EIA262173:EIB262271 ERW262173:ERX262271 FBS262173:FBT262271 FLO262173:FLP262271 FVK262173:FVL262271 GFG262173:GFH262271 GPC262173:GPD262271 GYY262173:GYZ262271 HIU262173:HIV262271 HSQ262173:HSR262271 ICM262173:ICN262271 IMI262173:IMJ262271 IWE262173:IWF262271 JGA262173:JGB262271 JPW262173:JPX262271 JZS262173:JZT262271 KJO262173:KJP262271 KTK262173:KTL262271 LDG262173:LDH262271 LNC262173:LND262271 LWY262173:LWZ262271 MGU262173:MGV262271 MQQ262173:MQR262271 NAM262173:NAN262271 NKI262173:NKJ262271 NUE262173:NUF262271 OEA262173:OEB262271 ONW262173:ONX262271 OXS262173:OXT262271 PHO262173:PHP262271 PRK262173:PRL262271 QBG262173:QBH262271 QLC262173:QLD262271 QUY262173:QUZ262271 REU262173:REV262271 ROQ262173:ROR262271 RYM262173:RYN262271 SII262173:SIJ262271 SSE262173:SSF262271 TCA262173:TCB262271 TLW262173:TLX262271 TVS262173:TVT262271 UFO262173:UFP262271 UPK262173:UPL262271 UZG262173:UZH262271 VJC262173:VJD262271 VSY262173:VSZ262271 WCU262173:WCV262271 WMQ262173:WMR262271 WWM262173:WWN262271 R327709:T327807 KA327709:KB327807 TW327709:TX327807 ADS327709:ADT327807 ANO327709:ANP327807 AXK327709:AXL327807 BHG327709:BHH327807 BRC327709:BRD327807 CAY327709:CAZ327807 CKU327709:CKV327807 CUQ327709:CUR327807 DEM327709:DEN327807 DOI327709:DOJ327807 DYE327709:DYF327807 EIA327709:EIB327807 ERW327709:ERX327807 FBS327709:FBT327807 FLO327709:FLP327807 FVK327709:FVL327807 GFG327709:GFH327807 GPC327709:GPD327807 GYY327709:GYZ327807 HIU327709:HIV327807 HSQ327709:HSR327807 ICM327709:ICN327807 IMI327709:IMJ327807 IWE327709:IWF327807 JGA327709:JGB327807 JPW327709:JPX327807 JZS327709:JZT327807 KJO327709:KJP327807 KTK327709:KTL327807 LDG327709:LDH327807 LNC327709:LND327807 LWY327709:LWZ327807 MGU327709:MGV327807 MQQ327709:MQR327807 NAM327709:NAN327807 NKI327709:NKJ327807 NUE327709:NUF327807 OEA327709:OEB327807 ONW327709:ONX327807 OXS327709:OXT327807 PHO327709:PHP327807 PRK327709:PRL327807 QBG327709:QBH327807 QLC327709:QLD327807 QUY327709:QUZ327807 REU327709:REV327807 ROQ327709:ROR327807 RYM327709:RYN327807 SII327709:SIJ327807 SSE327709:SSF327807 TCA327709:TCB327807 TLW327709:TLX327807 TVS327709:TVT327807 UFO327709:UFP327807 UPK327709:UPL327807 UZG327709:UZH327807 VJC327709:VJD327807 VSY327709:VSZ327807 WCU327709:WCV327807 WMQ327709:WMR327807 WWM327709:WWN327807 R393245:T393343 KA393245:KB393343 TW393245:TX393343 ADS393245:ADT393343 ANO393245:ANP393343 AXK393245:AXL393343 BHG393245:BHH393343 BRC393245:BRD393343 CAY393245:CAZ393343 CKU393245:CKV393343 CUQ393245:CUR393343 DEM393245:DEN393343 DOI393245:DOJ393343 DYE393245:DYF393343 EIA393245:EIB393343 ERW393245:ERX393343 FBS393245:FBT393343 FLO393245:FLP393343 FVK393245:FVL393343 GFG393245:GFH393343 GPC393245:GPD393343 GYY393245:GYZ393343 HIU393245:HIV393343 HSQ393245:HSR393343 ICM393245:ICN393343 IMI393245:IMJ393343 IWE393245:IWF393343 JGA393245:JGB393343 JPW393245:JPX393343 JZS393245:JZT393343 KJO393245:KJP393343 KTK393245:KTL393343 LDG393245:LDH393343 LNC393245:LND393343 LWY393245:LWZ393343 MGU393245:MGV393343 MQQ393245:MQR393343 NAM393245:NAN393343 NKI393245:NKJ393343 NUE393245:NUF393343 OEA393245:OEB393343 ONW393245:ONX393343 OXS393245:OXT393343 PHO393245:PHP393343 PRK393245:PRL393343 QBG393245:QBH393343 QLC393245:QLD393343 QUY393245:QUZ393343 REU393245:REV393343 ROQ393245:ROR393343 RYM393245:RYN393343 SII393245:SIJ393343 SSE393245:SSF393343 TCA393245:TCB393343 TLW393245:TLX393343 TVS393245:TVT393343 UFO393245:UFP393343 UPK393245:UPL393343 UZG393245:UZH393343 VJC393245:VJD393343 VSY393245:VSZ393343 WCU393245:WCV393343 WMQ393245:WMR393343 WWM393245:WWN393343 R458781:T458879 KA458781:KB458879 TW458781:TX458879 ADS458781:ADT458879 ANO458781:ANP458879 AXK458781:AXL458879 BHG458781:BHH458879 BRC458781:BRD458879 CAY458781:CAZ458879 CKU458781:CKV458879 CUQ458781:CUR458879 DEM458781:DEN458879 DOI458781:DOJ458879 DYE458781:DYF458879 EIA458781:EIB458879 ERW458781:ERX458879 FBS458781:FBT458879 FLO458781:FLP458879 FVK458781:FVL458879 GFG458781:GFH458879 GPC458781:GPD458879 GYY458781:GYZ458879 HIU458781:HIV458879 HSQ458781:HSR458879 ICM458781:ICN458879 IMI458781:IMJ458879 IWE458781:IWF458879 JGA458781:JGB458879 JPW458781:JPX458879 JZS458781:JZT458879 KJO458781:KJP458879 KTK458781:KTL458879 LDG458781:LDH458879 LNC458781:LND458879 LWY458781:LWZ458879 MGU458781:MGV458879 MQQ458781:MQR458879 NAM458781:NAN458879 NKI458781:NKJ458879 NUE458781:NUF458879 OEA458781:OEB458879 ONW458781:ONX458879 OXS458781:OXT458879 PHO458781:PHP458879 PRK458781:PRL458879 QBG458781:QBH458879 QLC458781:QLD458879 QUY458781:QUZ458879 REU458781:REV458879 ROQ458781:ROR458879 RYM458781:RYN458879 SII458781:SIJ458879 SSE458781:SSF458879 TCA458781:TCB458879 TLW458781:TLX458879 TVS458781:TVT458879 UFO458781:UFP458879 UPK458781:UPL458879 UZG458781:UZH458879 VJC458781:VJD458879 VSY458781:VSZ458879 WCU458781:WCV458879 WMQ458781:WMR458879 WWM458781:WWN458879 R524317:T524415 KA524317:KB524415 TW524317:TX524415 ADS524317:ADT524415 ANO524317:ANP524415 AXK524317:AXL524415 BHG524317:BHH524415 BRC524317:BRD524415 CAY524317:CAZ524415 CKU524317:CKV524415 CUQ524317:CUR524415 DEM524317:DEN524415 DOI524317:DOJ524415 DYE524317:DYF524415 EIA524317:EIB524415 ERW524317:ERX524415 FBS524317:FBT524415 FLO524317:FLP524415 FVK524317:FVL524415 GFG524317:GFH524415 GPC524317:GPD524415 GYY524317:GYZ524415 HIU524317:HIV524415 HSQ524317:HSR524415 ICM524317:ICN524415 IMI524317:IMJ524415 IWE524317:IWF524415 JGA524317:JGB524415 JPW524317:JPX524415 JZS524317:JZT524415 KJO524317:KJP524415 KTK524317:KTL524415 LDG524317:LDH524415 LNC524317:LND524415 LWY524317:LWZ524415 MGU524317:MGV524415 MQQ524317:MQR524415 NAM524317:NAN524415 NKI524317:NKJ524415 NUE524317:NUF524415 OEA524317:OEB524415 ONW524317:ONX524415 OXS524317:OXT524415 PHO524317:PHP524415 PRK524317:PRL524415 QBG524317:QBH524415 QLC524317:QLD524415 QUY524317:QUZ524415 REU524317:REV524415 ROQ524317:ROR524415 RYM524317:RYN524415 SII524317:SIJ524415 SSE524317:SSF524415 TCA524317:TCB524415 TLW524317:TLX524415 TVS524317:TVT524415 UFO524317:UFP524415 UPK524317:UPL524415 UZG524317:UZH524415 VJC524317:VJD524415 VSY524317:VSZ524415 WCU524317:WCV524415 WMQ524317:WMR524415 WWM524317:WWN524415 R589853:T589951 KA589853:KB589951 TW589853:TX589951 ADS589853:ADT589951 ANO589853:ANP589951 AXK589853:AXL589951 BHG589853:BHH589951 BRC589853:BRD589951 CAY589853:CAZ589951 CKU589853:CKV589951 CUQ589853:CUR589951 DEM589853:DEN589951 DOI589853:DOJ589951 DYE589853:DYF589951 EIA589853:EIB589951 ERW589853:ERX589951 FBS589853:FBT589951 FLO589853:FLP589951 FVK589853:FVL589951 GFG589853:GFH589951 GPC589853:GPD589951 GYY589853:GYZ589951 HIU589853:HIV589951 HSQ589853:HSR589951 ICM589853:ICN589951 IMI589853:IMJ589951 IWE589853:IWF589951 JGA589853:JGB589951 JPW589853:JPX589951 JZS589853:JZT589951 KJO589853:KJP589951 KTK589853:KTL589951 LDG589853:LDH589951 LNC589853:LND589951 LWY589853:LWZ589951 MGU589853:MGV589951 MQQ589853:MQR589951 NAM589853:NAN589951 NKI589853:NKJ589951 NUE589853:NUF589951 OEA589853:OEB589951 ONW589853:ONX589951 OXS589853:OXT589951 PHO589853:PHP589951 PRK589853:PRL589951 QBG589853:QBH589951 QLC589853:QLD589951 QUY589853:QUZ589951 REU589853:REV589951 ROQ589853:ROR589951 RYM589853:RYN589951 SII589853:SIJ589951 SSE589853:SSF589951 TCA589853:TCB589951 TLW589853:TLX589951 TVS589853:TVT589951 UFO589853:UFP589951 UPK589853:UPL589951 UZG589853:UZH589951 VJC589853:VJD589951 VSY589853:VSZ589951 WCU589853:WCV589951 WMQ589853:WMR589951 WWM589853:WWN589951 R655389:T655487 KA655389:KB655487 TW655389:TX655487 ADS655389:ADT655487 ANO655389:ANP655487 AXK655389:AXL655487 BHG655389:BHH655487 BRC655389:BRD655487 CAY655389:CAZ655487 CKU655389:CKV655487 CUQ655389:CUR655487 DEM655389:DEN655487 DOI655389:DOJ655487 DYE655389:DYF655487 EIA655389:EIB655487 ERW655389:ERX655487 FBS655389:FBT655487 FLO655389:FLP655487 FVK655389:FVL655487 GFG655389:GFH655487 GPC655389:GPD655487 GYY655389:GYZ655487 HIU655389:HIV655487 HSQ655389:HSR655487 ICM655389:ICN655487 IMI655389:IMJ655487 IWE655389:IWF655487 JGA655389:JGB655487 JPW655389:JPX655487 JZS655389:JZT655487 KJO655389:KJP655487 KTK655389:KTL655487 LDG655389:LDH655487 LNC655389:LND655487 LWY655389:LWZ655487 MGU655389:MGV655487 MQQ655389:MQR655487 NAM655389:NAN655487 NKI655389:NKJ655487 NUE655389:NUF655487 OEA655389:OEB655487 ONW655389:ONX655487 OXS655389:OXT655487 PHO655389:PHP655487 PRK655389:PRL655487 QBG655389:QBH655487 QLC655389:QLD655487 QUY655389:QUZ655487 REU655389:REV655487 ROQ655389:ROR655487 RYM655389:RYN655487 SII655389:SIJ655487 SSE655389:SSF655487 TCA655389:TCB655487 TLW655389:TLX655487 TVS655389:TVT655487 UFO655389:UFP655487 UPK655389:UPL655487 UZG655389:UZH655487 VJC655389:VJD655487 VSY655389:VSZ655487 WCU655389:WCV655487 WMQ655389:WMR655487 WWM655389:WWN655487 R720925:T721023 KA720925:KB721023 TW720925:TX721023 ADS720925:ADT721023 ANO720925:ANP721023 AXK720925:AXL721023 BHG720925:BHH721023 BRC720925:BRD721023 CAY720925:CAZ721023 CKU720925:CKV721023 CUQ720925:CUR721023 DEM720925:DEN721023 DOI720925:DOJ721023 DYE720925:DYF721023 EIA720925:EIB721023 ERW720925:ERX721023 FBS720925:FBT721023 FLO720925:FLP721023 FVK720925:FVL721023 GFG720925:GFH721023 GPC720925:GPD721023 GYY720925:GYZ721023 HIU720925:HIV721023 HSQ720925:HSR721023 ICM720925:ICN721023 IMI720925:IMJ721023 IWE720925:IWF721023 JGA720925:JGB721023 JPW720925:JPX721023 JZS720925:JZT721023 KJO720925:KJP721023 KTK720925:KTL721023 LDG720925:LDH721023 LNC720925:LND721023 LWY720925:LWZ721023 MGU720925:MGV721023 MQQ720925:MQR721023 NAM720925:NAN721023 NKI720925:NKJ721023 NUE720925:NUF721023 OEA720925:OEB721023 ONW720925:ONX721023 OXS720925:OXT721023 PHO720925:PHP721023 PRK720925:PRL721023 QBG720925:QBH721023 QLC720925:QLD721023 QUY720925:QUZ721023 REU720925:REV721023 ROQ720925:ROR721023 RYM720925:RYN721023 SII720925:SIJ721023 SSE720925:SSF721023 TCA720925:TCB721023 TLW720925:TLX721023 TVS720925:TVT721023 UFO720925:UFP721023 UPK720925:UPL721023 UZG720925:UZH721023 VJC720925:VJD721023 VSY720925:VSZ721023 WCU720925:WCV721023 WMQ720925:WMR721023 WWM720925:WWN721023 R786461:T786559 KA786461:KB786559 TW786461:TX786559 ADS786461:ADT786559 ANO786461:ANP786559 AXK786461:AXL786559 BHG786461:BHH786559 BRC786461:BRD786559 CAY786461:CAZ786559 CKU786461:CKV786559 CUQ786461:CUR786559 DEM786461:DEN786559 DOI786461:DOJ786559 DYE786461:DYF786559 EIA786461:EIB786559 ERW786461:ERX786559 FBS786461:FBT786559 FLO786461:FLP786559 FVK786461:FVL786559 GFG786461:GFH786559 GPC786461:GPD786559 GYY786461:GYZ786559 HIU786461:HIV786559 HSQ786461:HSR786559 ICM786461:ICN786559 IMI786461:IMJ786559 IWE786461:IWF786559 JGA786461:JGB786559 JPW786461:JPX786559 JZS786461:JZT786559 KJO786461:KJP786559 KTK786461:KTL786559 LDG786461:LDH786559 LNC786461:LND786559 LWY786461:LWZ786559 MGU786461:MGV786559 MQQ786461:MQR786559 NAM786461:NAN786559 NKI786461:NKJ786559 NUE786461:NUF786559 OEA786461:OEB786559 ONW786461:ONX786559 OXS786461:OXT786559 PHO786461:PHP786559 PRK786461:PRL786559 QBG786461:QBH786559 QLC786461:QLD786559 QUY786461:QUZ786559 REU786461:REV786559 ROQ786461:ROR786559 RYM786461:RYN786559 SII786461:SIJ786559 SSE786461:SSF786559 TCA786461:TCB786559 TLW786461:TLX786559 TVS786461:TVT786559 UFO786461:UFP786559 UPK786461:UPL786559 UZG786461:UZH786559 VJC786461:VJD786559 VSY786461:VSZ786559 WCU786461:WCV786559 WMQ786461:WMR786559 WWM786461:WWN786559 R851997:T852095 KA851997:KB852095 TW851997:TX852095 ADS851997:ADT852095 ANO851997:ANP852095 AXK851997:AXL852095 BHG851997:BHH852095 BRC851997:BRD852095 CAY851997:CAZ852095 CKU851997:CKV852095 CUQ851997:CUR852095 DEM851997:DEN852095 DOI851997:DOJ852095 DYE851997:DYF852095 EIA851997:EIB852095 ERW851997:ERX852095 FBS851997:FBT852095 FLO851997:FLP852095 FVK851997:FVL852095 GFG851997:GFH852095 GPC851997:GPD852095 GYY851997:GYZ852095 HIU851997:HIV852095 HSQ851997:HSR852095 ICM851997:ICN852095 IMI851997:IMJ852095 IWE851997:IWF852095 JGA851997:JGB852095 JPW851997:JPX852095 JZS851997:JZT852095 KJO851997:KJP852095 KTK851997:KTL852095 LDG851997:LDH852095 LNC851997:LND852095 LWY851997:LWZ852095 MGU851997:MGV852095 MQQ851997:MQR852095 NAM851997:NAN852095 NKI851997:NKJ852095 NUE851997:NUF852095 OEA851997:OEB852095 ONW851997:ONX852095 OXS851997:OXT852095 PHO851997:PHP852095 PRK851997:PRL852095 QBG851997:QBH852095 QLC851997:QLD852095 QUY851997:QUZ852095 REU851997:REV852095 ROQ851997:ROR852095 RYM851997:RYN852095 SII851997:SIJ852095 SSE851997:SSF852095 TCA851997:TCB852095 TLW851997:TLX852095 TVS851997:TVT852095 UFO851997:UFP852095 UPK851997:UPL852095 UZG851997:UZH852095 VJC851997:VJD852095 VSY851997:VSZ852095 WCU851997:WCV852095 WMQ851997:WMR852095 WWM851997:WWN852095 R917533:T917631 KA917533:KB917631 TW917533:TX917631 ADS917533:ADT917631 ANO917533:ANP917631 AXK917533:AXL917631 BHG917533:BHH917631 BRC917533:BRD917631 CAY917533:CAZ917631 CKU917533:CKV917631 CUQ917533:CUR917631 DEM917533:DEN917631 DOI917533:DOJ917631 DYE917533:DYF917631 EIA917533:EIB917631 ERW917533:ERX917631 FBS917533:FBT917631 FLO917533:FLP917631 FVK917533:FVL917631 GFG917533:GFH917631 GPC917533:GPD917631 GYY917533:GYZ917631 HIU917533:HIV917631 HSQ917533:HSR917631 ICM917533:ICN917631 IMI917533:IMJ917631 IWE917533:IWF917631 JGA917533:JGB917631 JPW917533:JPX917631 JZS917533:JZT917631 KJO917533:KJP917631 KTK917533:KTL917631 LDG917533:LDH917631 LNC917533:LND917631 LWY917533:LWZ917631 MGU917533:MGV917631 MQQ917533:MQR917631 NAM917533:NAN917631 NKI917533:NKJ917631 NUE917533:NUF917631 OEA917533:OEB917631 ONW917533:ONX917631 OXS917533:OXT917631 PHO917533:PHP917631 PRK917533:PRL917631 QBG917533:QBH917631 QLC917533:QLD917631 QUY917533:QUZ917631 REU917533:REV917631 ROQ917533:ROR917631 RYM917533:RYN917631 SII917533:SIJ917631 SSE917533:SSF917631 TCA917533:TCB917631 TLW917533:TLX917631 TVS917533:TVT917631 UFO917533:UFP917631 UPK917533:UPL917631 UZG917533:UZH917631 VJC917533:VJD917631 VSY917533:VSZ917631 WCU917533:WCV917631 WMQ917533:WMR917631 WWM917533:WWN917631 R983069:T983167 KA983069:KB983167 TW983069:TX983167 ADS983069:ADT983167 ANO983069:ANP983167 AXK983069:AXL983167 BHG983069:BHH983167 BRC983069:BRD983167 CAY983069:CAZ983167 CKU983069:CKV983167 CUQ983069:CUR983167 DEM983069:DEN983167 DOI983069:DOJ983167 DYE983069:DYF983167 EIA983069:EIB983167 ERW983069:ERX983167 FBS983069:FBT983167 FLO983069:FLP983167 FVK983069:FVL983167 GFG983069:GFH983167 GPC983069:GPD983167 GYY983069:GYZ983167 HIU983069:HIV983167 HSQ983069:HSR983167 ICM983069:ICN983167 IMI983069:IMJ983167 IWE983069:IWF983167 JGA983069:JGB983167 JPW983069:JPX983167 JZS983069:JZT983167 KJO983069:KJP983167 KTK983069:KTL983167 LDG983069:LDH983167 LNC983069:LND983167 LWY983069:LWZ983167 MGU983069:MGV983167 MQQ983069:MQR983167 NAM983069:NAN983167 NKI983069:NKJ983167 NUE983069:NUF983167 OEA983069:OEB983167 ONW983069:ONX983167 OXS983069:OXT983167 PHO983069:PHP983167 PRK983069:PRL983167 QBG983069:QBH983167 QLC983069:QLD983167 QUY983069:QUZ983167 REU983069:REV983167 ROQ983069:ROR983167 RYM983069:RYN983167 SII983069:SIJ983167 SSE983069:SSF983167 TCA983069:TCB983167 TLW983069:TLX983167 TVS983069:TVT983167 UFO983069:UFP983167 UPK983069:UPL983167 UZG983069:UZH983167 VJC983069:VJD983167 VSY983069:VSZ983167 WCU983069:WCV983167 WMQ983069:WMR983167 WWM983069:WWN983167 U27:U28 KC28 TY28 ADU28 ANQ28 AXM28 BHI28 BRE28 CBA28 CKW28 CUS28 DEO28 DOK28 DYG28 EIC28 ERY28 FBU28 FLQ28 FVM28 GFI28 GPE28 GZA28 HIW28 HSS28 ICO28 IMK28 IWG28 JGC28 JPY28 JZU28 KJQ28 KTM28 LDI28 LNE28 LXA28 MGW28 MQS28 NAO28 NKK28 NUG28 OEC28 ONY28 OXU28 PHQ28 PRM28 QBI28 QLE28 QVA28 REW28 ROS28 RYO28 SIK28 SSG28 TCC28 TLY28 TVU28 UFQ28 UPM28 UZI28 VJE28 VTA28 WCW28 WMS28 WWO28 U65565 KC65565 TY65565 ADU65565 ANQ65565 AXM65565 BHI65565 BRE65565 CBA65565 CKW65565 CUS65565 DEO65565 DOK65565 DYG65565 EIC65565 ERY65565 FBU65565 FLQ65565 FVM65565 GFI65565 GPE65565 GZA65565 HIW65565 HSS65565 ICO65565 IMK65565 IWG65565 JGC65565 JPY65565 JZU65565 KJQ65565 KTM65565 LDI65565 LNE65565 LXA65565 MGW65565 MQS65565 NAO65565 NKK65565 NUG65565 OEC65565 ONY65565 OXU65565 PHQ65565 PRM65565 QBI65565 QLE65565 QVA65565 REW65565 ROS65565 RYO65565 SIK65565 SSG65565 TCC65565 TLY65565 TVU65565 UFQ65565 UPM65565 UZI65565 VJE65565 VTA65565 WCW65565 WMS65565 WWO65565 U131101 KC131101 TY131101 ADU131101 ANQ131101 AXM131101 BHI131101 BRE131101 CBA131101 CKW131101 CUS131101 DEO131101 DOK131101 DYG131101 EIC131101 ERY131101 FBU131101 FLQ131101 FVM131101 GFI131101 GPE131101 GZA131101 HIW131101 HSS131101 ICO131101 IMK131101 IWG131101 JGC131101 JPY131101 JZU131101 KJQ131101 KTM131101 LDI131101 LNE131101 LXA131101 MGW131101 MQS131101 NAO131101 NKK131101 NUG131101 OEC131101 ONY131101 OXU131101 PHQ131101 PRM131101 QBI131101 QLE131101 QVA131101 REW131101 ROS131101 RYO131101 SIK131101 SSG131101 TCC131101 TLY131101 TVU131101 UFQ131101 UPM131101 UZI131101 VJE131101 VTA131101 WCW131101 WMS131101 WWO131101 U196637 KC196637 TY196637 ADU196637 ANQ196637 AXM196637 BHI196637 BRE196637 CBA196637 CKW196637 CUS196637 DEO196637 DOK196637 DYG196637 EIC196637 ERY196637 FBU196637 FLQ196637 FVM196637 GFI196637 GPE196637 GZA196637 HIW196637 HSS196637 ICO196637 IMK196637 IWG196637 JGC196637 JPY196637 JZU196637 KJQ196637 KTM196637 LDI196637 LNE196637 LXA196637 MGW196637 MQS196637 NAO196637 NKK196637 NUG196637 OEC196637 ONY196637 OXU196637 PHQ196637 PRM196637 QBI196637 QLE196637 QVA196637 REW196637 ROS196637 RYO196637 SIK196637 SSG196637 TCC196637 TLY196637 TVU196637 UFQ196637 UPM196637 UZI196637 VJE196637 VTA196637 WCW196637 WMS196637 WWO196637 U262173 KC262173 TY262173 ADU262173 ANQ262173 AXM262173 BHI262173 BRE262173 CBA262173 CKW262173 CUS262173 DEO262173 DOK262173 DYG262173 EIC262173 ERY262173 FBU262173 FLQ262173 FVM262173 GFI262173 GPE262173 GZA262173 HIW262173 HSS262173 ICO262173 IMK262173 IWG262173 JGC262173 JPY262173 JZU262173 KJQ262173 KTM262173 LDI262173 LNE262173 LXA262173 MGW262173 MQS262173 NAO262173 NKK262173 NUG262173 OEC262173 ONY262173 OXU262173 PHQ262173 PRM262173 QBI262173 QLE262173 QVA262173 REW262173 ROS262173 RYO262173 SIK262173 SSG262173 TCC262173 TLY262173 TVU262173 UFQ262173 UPM262173 UZI262173 VJE262173 VTA262173 WCW262173 WMS262173 WWO262173 U327709 KC327709 TY327709 ADU327709 ANQ327709 AXM327709 BHI327709 BRE327709 CBA327709 CKW327709 CUS327709 DEO327709 DOK327709 DYG327709 EIC327709 ERY327709 FBU327709 FLQ327709 FVM327709 GFI327709 GPE327709 GZA327709 HIW327709 HSS327709 ICO327709 IMK327709 IWG327709 JGC327709 JPY327709 JZU327709 KJQ327709 KTM327709 LDI327709 LNE327709 LXA327709 MGW327709 MQS327709 NAO327709 NKK327709 NUG327709 OEC327709 ONY327709 OXU327709 PHQ327709 PRM327709 QBI327709 QLE327709 QVA327709 REW327709 ROS327709 RYO327709 SIK327709 SSG327709 TCC327709 TLY327709 TVU327709 UFQ327709 UPM327709 UZI327709 VJE327709 VTA327709 WCW327709 WMS327709 WWO327709 U393245 KC393245 TY393245 ADU393245 ANQ393245 AXM393245 BHI393245 BRE393245 CBA393245 CKW393245 CUS393245 DEO393245 DOK393245 DYG393245 EIC393245 ERY393245 FBU393245 FLQ393245 FVM393245 GFI393245 GPE393245 GZA393245 HIW393245 HSS393245 ICO393245 IMK393245 IWG393245 JGC393245 JPY393245 JZU393245 KJQ393245 KTM393245 LDI393245 LNE393245 LXA393245 MGW393245 MQS393245 NAO393245 NKK393245 NUG393245 OEC393245 ONY393245 OXU393245 PHQ393245 PRM393245 QBI393245 QLE393245 QVA393245 REW393245 ROS393245 RYO393245 SIK393245 SSG393245 TCC393245 TLY393245 TVU393245 UFQ393245 UPM393245 UZI393245 VJE393245 VTA393245 WCW393245 WMS393245 WWO393245 U458781 KC458781 TY458781 ADU458781 ANQ458781 AXM458781 BHI458781 BRE458781 CBA458781 CKW458781 CUS458781 DEO458781 DOK458781 DYG458781 EIC458781 ERY458781 FBU458781 FLQ458781 FVM458781 GFI458781 GPE458781 GZA458781 HIW458781 HSS458781 ICO458781 IMK458781 IWG458781 JGC458781 JPY458781 JZU458781 KJQ458781 KTM458781 LDI458781 LNE458781 LXA458781 MGW458781 MQS458781 NAO458781 NKK458781 NUG458781 OEC458781 ONY458781 OXU458781 PHQ458781 PRM458781 QBI458781 QLE458781 QVA458781 REW458781 ROS458781 RYO458781 SIK458781 SSG458781 TCC458781 TLY458781 TVU458781 UFQ458781 UPM458781 UZI458781 VJE458781 VTA458781 WCW458781 WMS458781 WWO458781 U524317 KC524317 TY524317 ADU524317 ANQ524317 AXM524317 BHI524317 BRE524317 CBA524317 CKW524317 CUS524317 DEO524317 DOK524317 DYG524317 EIC524317 ERY524317 FBU524317 FLQ524317 FVM524317 GFI524317 GPE524317 GZA524317 HIW524317 HSS524317 ICO524317 IMK524317 IWG524317 JGC524317 JPY524317 JZU524317 KJQ524317 KTM524317 LDI524317 LNE524317 LXA524317 MGW524317 MQS524317 NAO524317 NKK524317 NUG524317 OEC524317 ONY524317 OXU524317 PHQ524317 PRM524317 QBI524317 QLE524317 QVA524317 REW524317 ROS524317 RYO524317 SIK524317 SSG524317 TCC524317 TLY524317 TVU524317 UFQ524317 UPM524317 UZI524317 VJE524317 VTA524317 WCW524317 WMS524317 WWO524317 U589853 KC589853 TY589853 ADU589853 ANQ589853 AXM589853 BHI589853 BRE589853 CBA589853 CKW589853 CUS589853 DEO589853 DOK589853 DYG589853 EIC589853 ERY589853 FBU589853 FLQ589853 FVM589853 GFI589853 GPE589853 GZA589853 HIW589853 HSS589853 ICO589853 IMK589853 IWG589853 JGC589853 JPY589853 JZU589853 KJQ589853 KTM589853 LDI589853 LNE589853 LXA589853 MGW589853 MQS589853 NAO589853 NKK589853 NUG589853 OEC589853 ONY589853 OXU589853 PHQ589853 PRM589853 QBI589853 QLE589853 QVA589853 REW589853 ROS589853 RYO589853 SIK589853 SSG589853 TCC589853 TLY589853 TVU589853 UFQ589853 UPM589853 UZI589853 VJE589853 VTA589853 WCW589853 WMS589853 WWO589853 U655389 KC655389 TY655389 ADU655389 ANQ655389 AXM655389 BHI655389 BRE655389 CBA655389 CKW655389 CUS655389 DEO655389 DOK655389 DYG655389 EIC655389 ERY655389 FBU655389 FLQ655389 FVM655389 GFI655389 GPE655389 GZA655389 HIW655389 HSS655389 ICO655389 IMK655389 IWG655389 JGC655389 JPY655389 JZU655389 KJQ655389 KTM655389 LDI655389 LNE655389 LXA655389 MGW655389 MQS655389 NAO655389 NKK655389 NUG655389 OEC655389 ONY655389 OXU655389 PHQ655389 PRM655389 QBI655389 QLE655389 QVA655389 REW655389 ROS655389 RYO655389 SIK655389 SSG655389 TCC655389 TLY655389 TVU655389 UFQ655389 UPM655389 UZI655389 VJE655389 VTA655389 WCW655389 WMS655389 WWO655389 U720925 KC720925 TY720925 ADU720925 ANQ720925 AXM720925 BHI720925 BRE720925 CBA720925 CKW720925 CUS720925 DEO720925 DOK720925 DYG720925 EIC720925 ERY720925 FBU720925 FLQ720925 FVM720925 GFI720925 GPE720925 GZA720925 HIW720925 HSS720925 ICO720925 IMK720925 IWG720925 JGC720925 JPY720925 JZU720925 KJQ720925 KTM720925 LDI720925 LNE720925 LXA720925 MGW720925 MQS720925 NAO720925 NKK720925 NUG720925 OEC720925 ONY720925 OXU720925 PHQ720925 PRM720925 QBI720925 QLE720925 QVA720925 REW720925 ROS720925 RYO720925 SIK720925 SSG720925 TCC720925 TLY720925 TVU720925 UFQ720925 UPM720925 UZI720925 VJE720925 VTA720925 WCW720925 WMS720925 WWO720925 U786461 KC786461 TY786461 ADU786461 ANQ786461 AXM786461 BHI786461 BRE786461 CBA786461 CKW786461 CUS786461 DEO786461 DOK786461 DYG786461 EIC786461 ERY786461 FBU786461 FLQ786461 FVM786461 GFI786461 GPE786461 GZA786461 HIW786461 HSS786461 ICO786461 IMK786461 IWG786461 JGC786461 JPY786461 JZU786461 KJQ786461 KTM786461 LDI786461 LNE786461 LXA786461 MGW786461 MQS786461 NAO786461 NKK786461 NUG786461 OEC786461 ONY786461 OXU786461 PHQ786461 PRM786461 QBI786461 QLE786461 QVA786461 REW786461 ROS786461 RYO786461 SIK786461 SSG786461 TCC786461 TLY786461 TVU786461 UFQ786461 UPM786461 UZI786461 VJE786461 VTA786461 WCW786461 WMS786461 WWO786461 U851997 KC851997 TY851997 ADU851997 ANQ851997 AXM851997 BHI851997 BRE851997 CBA851997 CKW851997 CUS851997 DEO851997 DOK851997 DYG851997 EIC851997 ERY851997 FBU851997 FLQ851997 FVM851997 GFI851997 GPE851997 GZA851997 HIW851997 HSS851997 ICO851997 IMK851997 IWG851997 JGC851997 JPY851997 JZU851997 KJQ851997 KTM851997 LDI851997 LNE851997 LXA851997 MGW851997 MQS851997 NAO851997 NKK851997 NUG851997 OEC851997 ONY851997 OXU851997 PHQ851997 PRM851997 QBI851997 QLE851997 QVA851997 REW851997 ROS851997 RYO851997 SIK851997 SSG851997 TCC851997 TLY851997 TVU851997 UFQ851997 UPM851997 UZI851997 VJE851997 VTA851997 WCW851997 WMS851997 WWO851997 U917533 KC917533 TY917533 ADU917533 ANQ917533 AXM917533 BHI917533 BRE917533 CBA917533 CKW917533 CUS917533 DEO917533 DOK917533 DYG917533 EIC917533 ERY917533 FBU917533 FLQ917533 FVM917533 GFI917533 GPE917533 GZA917533 HIW917533 HSS917533 ICO917533 IMK917533 IWG917533 JGC917533 JPY917533 JZU917533 KJQ917533 KTM917533 LDI917533 LNE917533 LXA917533 MGW917533 MQS917533 NAO917533 NKK917533 NUG917533 OEC917533 ONY917533 OXU917533 PHQ917533 PRM917533 QBI917533 QLE917533 QVA917533 REW917533 ROS917533 RYO917533 SIK917533 SSG917533 TCC917533 TLY917533 TVU917533 UFQ917533 UPM917533 UZI917533 VJE917533 VTA917533 WCW917533 WMS917533 WWO917533 U983069 KC983069 TY983069 ADU983069 ANQ983069 AXM983069 BHI983069 BRE983069 CBA983069 CKW983069 CUS983069 DEO983069 DOK983069 DYG983069 EIC983069 ERY983069 FBU983069 FLQ983069 FVM983069 GFI983069 GPE983069 GZA983069 HIW983069 HSS983069 ICO983069 IMK983069 IWG983069 JGC983069 JPY983069 JZU983069 KJQ983069 KTM983069 LDI983069 LNE983069 LXA983069 MGW983069 MQS983069 NAO983069 NKK983069 NUG983069 OEC983069 ONY983069 OXU983069 PHQ983069 PRM983069 QBI983069 QLE983069 QVA983069 REW983069 ROS983069 RYO983069 SIK983069 SSG983069 TCC983069 TLY983069 TVU983069 UFQ983069 UPM983069 UZI983069 VJE983069 VTA983069 WCW983069 WMS983069 WWO983069 Y27:Y126 KE28 UA28 ADW28 ANS28 AXO28 BHK28 BRG28 CBC28 CKY28 CUU28 DEQ28 DOM28 DYI28 EIE28 ESA28 FBW28 FLS28 FVO28 GFK28 GPG28 GZC28 HIY28 HSU28 ICQ28 IMM28 IWI28 JGE28 JQA28 JZW28 KJS28 KTO28 LDK28 LNG28 LXC28 MGY28 MQU28 NAQ28 NKM28 NUI28 OEE28 OOA28 OXW28 PHS28 PRO28 QBK28 QLG28 QVC28 REY28 ROU28 RYQ28 SIM28 SSI28 TCE28 TMA28 TVW28 UFS28 UPO28 UZK28 VJG28 VTC28 WCY28 WMU28 WWQ28 AD983069:AE983069 KE65565 UA65565 ADW65565 ANS65565 AXO65565 BHK65565 BRG65565 CBC65565 CKY65565 CUU65565 DEQ65565 DOM65565 DYI65565 EIE65565 ESA65565 FBW65565 FLS65565 FVO65565 GFK65565 GPG65565 GZC65565 HIY65565 HSU65565 ICQ65565 IMM65565 IWI65565 JGE65565 JQA65565 JZW65565 KJS65565 KTO65565 LDK65565 LNG65565 LXC65565 MGY65565 MQU65565 NAQ65565 NKM65565 NUI65565 OEE65565 OOA65565 OXW65565 PHS65565 PRO65565 QBK65565 QLG65565 QVC65565 REY65565 ROU65565 RYQ65565 SIM65565 SSI65565 TCE65565 TMA65565 TVW65565 UFS65565 UPO65565 UZK65565 VJG65565 VTC65565 WCY65565 WMU65565 WWQ65565 AA27:AA34 KE131101 UA131101 ADW131101 ANS131101 AXO131101 BHK131101 BRG131101 CBC131101 CKY131101 CUU131101 DEQ131101 DOM131101 DYI131101 EIE131101 ESA131101 FBW131101 FLS131101 FVO131101 GFK131101 GPG131101 GZC131101 HIY131101 HSU131101 ICQ131101 IMM131101 IWI131101 JGE131101 JQA131101 JZW131101 KJS131101 KTO131101 LDK131101 LNG131101 LXC131101 MGY131101 MQU131101 NAQ131101 NKM131101 NUI131101 OEE131101 OOA131101 OXW131101 PHS131101 PRO131101 QBK131101 QLG131101 QVC131101 REY131101 ROU131101 RYQ131101 SIM131101 SSI131101 TCE131101 TMA131101 TVW131101 UFS131101 UPO131101 UZK131101 VJG131101 VTC131101 WCY131101 WMU131101 WWQ131101 AD65565:AE65565 KE196637 UA196637 ADW196637 ANS196637 AXO196637 BHK196637 BRG196637 CBC196637 CKY196637 CUU196637 DEQ196637 DOM196637 DYI196637 EIE196637 ESA196637 FBW196637 FLS196637 FVO196637 GFK196637 GPG196637 GZC196637 HIY196637 HSU196637 ICQ196637 IMM196637 IWI196637 JGE196637 JQA196637 JZW196637 KJS196637 KTO196637 LDK196637 LNG196637 LXC196637 MGY196637 MQU196637 NAQ196637 NKM196637 NUI196637 OEE196637 OOA196637 OXW196637 PHS196637 PRO196637 QBK196637 QLG196637 QVC196637 REY196637 ROU196637 RYQ196637 SIM196637 SSI196637 TCE196637 TMA196637 TVW196637 UFS196637 UPO196637 UZK196637 VJG196637 VTC196637 WCY196637 WMU196637 WWQ196637 AD131101:AE131101 KE262173 UA262173 ADW262173 ANS262173 AXO262173 BHK262173 BRG262173 CBC262173 CKY262173 CUU262173 DEQ262173 DOM262173 DYI262173 EIE262173 ESA262173 FBW262173 FLS262173 FVO262173 GFK262173 GPG262173 GZC262173 HIY262173 HSU262173 ICQ262173 IMM262173 IWI262173 JGE262173 JQA262173 JZW262173 KJS262173 KTO262173 LDK262173 LNG262173 LXC262173 MGY262173 MQU262173 NAQ262173 NKM262173 NUI262173 OEE262173 OOA262173 OXW262173 PHS262173 PRO262173 QBK262173 QLG262173 QVC262173 REY262173 ROU262173 RYQ262173 SIM262173 SSI262173 TCE262173 TMA262173 TVW262173 UFS262173 UPO262173 UZK262173 VJG262173 VTC262173 WCY262173 WMU262173 WWQ262173 AD196637:AE196637 KE327709 UA327709 ADW327709 ANS327709 AXO327709 BHK327709 BRG327709 CBC327709 CKY327709 CUU327709 DEQ327709 DOM327709 DYI327709 EIE327709 ESA327709 FBW327709 FLS327709 FVO327709 GFK327709 GPG327709 GZC327709 HIY327709 HSU327709 ICQ327709 IMM327709 IWI327709 JGE327709 JQA327709 JZW327709 KJS327709 KTO327709 LDK327709 LNG327709 LXC327709 MGY327709 MQU327709 NAQ327709 NKM327709 NUI327709 OEE327709 OOA327709 OXW327709 PHS327709 PRO327709 QBK327709 QLG327709 QVC327709 REY327709 ROU327709 RYQ327709 SIM327709 SSI327709 TCE327709 TMA327709 TVW327709 UFS327709 UPO327709 UZK327709 VJG327709 VTC327709 WCY327709 WMU327709 WWQ327709 AD262173:AE262173 KE393245 UA393245 ADW393245 ANS393245 AXO393245 BHK393245 BRG393245 CBC393245 CKY393245 CUU393245 DEQ393245 DOM393245 DYI393245 EIE393245 ESA393245 FBW393245 FLS393245 FVO393245 GFK393245 GPG393245 GZC393245 HIY393245 HSU393245 ICQ393245 IMM393245 IWI393245 JGE393245 JQA393245 JZW393245 KJS393245 KTO393245 LDK393245 LNG393245 LXC393245 MGY393245 MQU393245 NAQ393245 NKM393245 NUI393245 OEE393245 OOA393245 OXW393245 PHS393245 PRO393245 QBK393245 QLG393245 QVC393245 REY393245 ROU393245 RYQ393245 SIM393245 SSI393245 TCE393245 TMA393245 TVW393245 UFS393245 UPO393245 UZK393245 VJG393245 VTC393245 WCY393245 WMU393245 WWQ393245 AD327709:AE327709 KE458781 UA458781 ADW458781 ANS458781 AXO458781 BHK458781 BRG458781 CBC458781 CKY458781 CUU458781 DEQ458781 DOM458781 DYI458781 EIE458781 ESA458781 FBW458781 FLS458781 FVO458781 GFK458781 GPG458781 GZC458781 HIY458781 HSU458781 ICQ458781 IMM458781 IWI458781 JGE458781 JQA458781 JZW458781 KJS458781 KTO458781 LDK458781 LNG458781 LXC458781 MGY458781 MQU458781 NAQ458781 NKM458781 NUI458781 OEE458781 OOA458781 OXW458781 PHS458781 PRO458781 QBK458781 QLG458781 QVC458781 REY458781 ROU458781 RYQ458781 SIM458781 SSI458781 TCE458781 TMA458781 TVW458781 UFS458781 UPO458781 UZK458781 VJG458781 VTC458781 WCY458781 WMU458781 WWQ458781 AD393245:AE393245 KE524317 UA524317 ADW524317 ANS524317 AXO524317 BHK524317 BRG524317 CBC524317 CKY524317 CUU524317 DEQ524317 DOM524317 DYI524317 EIE524317 ESA524317 FBW524317 FLS524317 FVO524317 GFK524317 GPG524317 GZC524317 HIY524317 HSU524317 ICQ524317 IMM524317 IWI524317 JGE524317 JQA524317 JZW524317 KJS524317 KTO524317 LDK524317 LNG524317 LXC524317 MGY524317 MQU524317 NAQ524317 NKM524317 NUI524317 OEE524317 OOA524317 OXW524317 PHS524317 PRO524317 QBK524317 QLG524317 QVC524317 REY524317 ROU524317 RYQ524317 SIM524317 SSI524317 TCE524317 TMA524317 TVW524317 UFS524317 UPO524317 UZK524317 VJG524317 VTC524317 WCY524317 WMU524317 WWQ524317 AD458781:AE458781 KE589853 UA589853 ADW589853 ANS589853 AXO589853 BHK589853 BRG589853 CBC589853 CKY589853 CUU589853 DEQ589853 DOM589853 DYI589853 EIE589853 ESA589853 FBW589853 FLS589853 FVO589853 GFK589853 GPG589853 GZC589853 HIY589853 HSU589853 ICQ589853 IMM589853 IWI589853 JGE589853 JQA589853 JZW589853 KJS589853 KTO589853 LDK589853 LNG589853 LXC589853 MGY589853 MQU589853 NAQ589853 NKM589853 NUI589853 OEE589853 OOA589853 OXW589853 PHS589853 PRO589853 QBK589853 QLG589853 QVC589853 REY589853 ROU589853 RYQ589853 SIM589853 SSI589853 TCE589853 TMA589853 TVW589853 UFS589853 UPO589853 UZK589853 VJG589853 VTC589853 WCY589853 WMU589853 WWQ589853 AD524317:AE524317 KE655389 UA655389 ADW655389 ANS655389 AXO655389 BHK655389 BRG655389 CBC655389 CKY655389 CUU655389 DEQ655389 DOM655389 DYI655389 EIE655389 ESA655389 FBW655389 FLS655389 FVO655389 GFK655389 GPG655389 GZC655389 HIY655389 HSU655389 ICQ655389 IMM655389 IWI655389 JGE655389 JQA655389 JZW655389 KJS655389 KTO655389 LDK655389 LNG655389 LXC655389 MGY655389 MQU655389 NAQ655389 NKM655389 NUI655389 OEE655389 OOA655389 OXW655389 PHS655389 PRO655389 QBK655389 QLG655389 QVC655389 REY655389 ROU655389 RYQ655389 SIM655389 SSI655389 TCE655389 TMA655389 TVW655389 UFS655389 UPO655389 UZK655389 VJG655389 VTC655389 WCY655389 WMU655389 WWQ655389 AD589853:AE589853 KE720925 UA720925 ADW720925 ANS720925 AXO720925 BHK720925 BRG720925 CBC720925 CKY720925 CUU720925 DEQ720925 DOM720925 DYI720925 EIE720925 ESA720925 FBW720925 FLS720925 FVO720925 GFK720925 GPG720925 GZC720925 HIY720925 HSU720925 ICQ720925 IMM720925 IWI720925 JGE720925 JQA720925 JZW720925 KJS720925 KTO720925 LDK720925 LNG720925 LXC720925 MGY720925 MQU720925 NAQ720925 NKM720925 NUI720925 OEE720925 OOA720925 OXW720925 PHS720925 PRO720925 QBK720925 QLG720925 QVC720925 REY720925 ROU720925 RYQ720925 SIM720925 SSI720925 TCE720925 TMA720925 TVW720925 UFS720925 UPO720925 UZK720925 VJG720925 VTC720925 WCY720925 WMU720925 WWQ720925 AD655389:AE655389 KE786461 UA786461 ADW786461 ANS786461 AXO786461 BHK786461 BRG786461 CBC786461 CKY786461 CUU786461 DEQ786461 DOM786461 DYI786461 EIE786461 ESA786461 FBW786461 FLS786461 FVO786461 GFK786461 GPG786461 GZC786461 HIY786461 HSU786461 ICQ786461 IMM786461 IWI786461 JGE786461 JQA786461 JZW786461 KJS786461 KTO786461 LDK786461 LNG786461 LXC786461 MGY786461 MQU786461 NAQ786461 NKM786461 NUI786461 OEE786461 OOA786461 OXW786461 PHS786461 PRO786461 QBK786461 QLG786461 QVC786461 REY786461 ROU786461 RYQ786461 SIM786461 SSI786461 TCE786461 TMA786461 TVW786461 UFS786461 UPO786461 UZK786461 VJG786461 VTC786461 WCY786461 WMU786461 WWQ786461 AD720925:AE720925 KE851997 UA851997 ADW851997 ANS851997 AXO851997 BHK851997 BRG851997 CBC851997 CKY851997 CUU851997 DEQ851997 DOM851997 DYI851997 EIE851997 ESA851997 FBW851997 FLS851997 FVO851997 GFK851997 GPG851997 GZC851997 HIY851997 HSU851997 ICQ851997 IMM851997 IWI851997 JGE851997 JQA851997 JZW851997 KJS851997 KTO851997 LDK851997 LNG851997 LXC851997 MGY851997 MQU851997 NAQ851997 NKM851997 NUI851997 OEE851997 OOA851997 OXW851997 PHS851997 PRO851997 QBK851997 QLG851997 QVC851997 REY851997 ROU851997 RYQ851997 SIM851997 SSI851997 TCE851997 TMA851997 TVW851997 UFS851997 UPO851997 UZK851997 VJG851997 VTC851997 WCY851997 WMU851997 WWQ851997 AD786461:AE786461 KE917533 UA917533 ADW917533 ANS917533 AXO917533 BHK917533 BRG917533 CBC917533 CKY917533 CUU917533 DEQ917533 DOM917533 DYI917533 EIE917533 ESA917533 FBW917533 FLS917533 FVO917533 GFK917533 GPG917533 GZC917533 HIY917533 HSU917533 ICQ917533 IMM917533 IWI917533 JGE917533 JQA917533 JZW917533 KJS917533 KTO917533 LDK917533 LNG917533 LXC917533 MGY917533 MQU917533 NAQ917533 NKM917533 NUI917533 OEE917533 OOA917533 OXW917533 PHS917533 PRO917533 QBK917533 QLG917533 QVC917533 REY917533 ROU917533 RYQ917533 SIM917533 SSI917533 TCE917533 TMA917533 TVW917533 UFS917533 UPO917533 UZK917533 VJG917533 VTC917533 WCY917533 WMU917533 WWQ917533 AD851997:AE851997 KE983069 UA983069 ADW983069 ANS983069 AXO983069 BHK983069 BRG983069 CBC983069 CKY983069 CUU983069 DEQ983069 DOM983069 DYI983069 EIE983069 ESA983069 FBW983069 FLS983069 FVO983069 GFK983069 GPG983069 GZC983069 HIY983069 HSU983069 ICQ983069 IMM983069 IWI983069 JGE983069 JQA983069 JZW983069 KJS983069 KTO983069 LDK983069 LNG983069 LXC983069 MGY983069 MQU983069 NAQ983069 NKM983069 NUI983069 OEE983069 OOA983069 OXW983069 PHS983069 PRO983069 QBK983069 QLG983069 QVC983069 REY983069 ROU983069 RYQ983069 SIM983069 SSI983069 TCE983069 TMA983069 TVW983069 UFS983069 UPO983069 UZK983069 VJG983069 VTC983069 WCY983069 WMU983069 WWQ983069">
      <formula1>$I$136:$I$137</formula1>
    </dataValidation>
    <dataValidation type="list" errorStyle="information" allowBlank="1" showInputMessage="1" showErrorMessage="1" errorTitle="Financial Instrument Type" error="Please enter one of the following options:_x000a__x000a_Shares - Com/Ord_x000a_Shares - Pfds NC_x000a_Shares - Pfds C_x000a_Shares - Other_x000a_Hybrid_x000a_Debt - Sub_x000a_Debt - Snr_x000a_Debt - Other_x000a_Other" sqref="JR28:JR126 D28:D125 ADJ28:ADJ126 ANF28:ANF126 AXB28:AXB126 BGX28:BGX126 BQT28:BQT126 CAP28:CAP126 CKL28:CKL126 CUH28:CUH126 DED28:DED126 DNZ28:DNZ126 DXV28:DXV126 EHR28:EHR126 ERN28:ERN126 FBJ28:FBJ126 FLF28:FLF126 FVB28:FVB126 GEX28:GEX126 GOT28:GOT126 GYP28:GYP126 HIL28:HIL126 HSH28:HSH126 ICD28:ICD126 ILZ28:ILZ126 IVV28:IVV126 JFR28:JFR126 JPN28:JPN126 JZJ28:JZJ126 KJF28:KJF126 KTB28:KTB126 LCX28:LCX126 LMT28:LMT126 LWP28:LWP126 MGL28:MGL126 MQH28:MQH126 NAD28:NAD126 NJZ28:NJZ126 NTV28:NTV126 ODR28:ODR126 ONN28:ONN126 OXJ28:OXJ126 PHF28:PHF126 PRB28:PRB126 QAX28:QAX126 QKT28:QKT126 QUP28:QUP126 REL28:REL126 ROH28:ROH126 RYD28:RYD126 SHZ28:SHZ126 SRV28:SRV126 TBR28:TBR126 TLN28:TLN126 TVJ28:TVJ126 UFF28:UFF126 UPB28:UPB126 UYX28:UYX126 VIT28:VIT126 VSP28:VSP126 WCL28:WCL126 WMH28:WMH126 WWD28:WWD126 D65564:D65662 JR65565:JR65663 TN65565:TN65663 ADJ65565:ADJ65663 ANF65565:ANF65663 AXB65565:AXB65663 BGX65565:BGX65663 BQT65565:BQT65663 CAP65565:CAP65663 CKL65565:CKL65663 CUH65565:CUH65663 DED65565:DED65663 DNZ65565:DNZ65663 DXV65565:DXV65663 EHR65565:EHR65663 ERN65565:ERN65663 FBJ65565:FBJ65663 FLF65565:FLF65663 FVB65565:FVB65663 GEX65565:GEX65663 GOT65565:GOT65663 GYP65565:GYP65663 HIL65565:HIL65663 HSH65565:HSH65663 ICD65565:ICD65663 ILZ65565:ILZ65663 IVV65565:IVV65663 JFR65565:JFR65663 JPN65565:JPN65663 JZJ65565:JZJ65663 KJF65565:KJF65663 KTB65565:KTB65663 LCX65565:LCX65663 LMT65565:LMT65663 LWP65565:LWP65663 MGL65565:MGL65663 MQH65565:MQH65663 NAD65565:NAD65663 NJZ65565:NJZ65663 NTV65565:NTV65663 ODR65565:ODR65663 ONN65565:ONN65663 OXJ65565:OXJ65663 PHF65565:PHF65663 PRB65565:PRB65663 QAX65565:QAX65663 QKT65565:QKT65663 QUP65565:QUP65663 REL65565:REL65663 ROH65565:ROH65663 RYD65565:RYD65663 SHZ65565:SHZ65663 SRV65565:SRV65663 TBR65565:TBR65663 TLN65565:TLN65663 TVJ65565:TVJ65663 UFF65565:UFF65663 UPB65565:UPB65663 UYX65565:UYX65663 VIT65565:VIT65663 VSP65565:VSP65663 WCL65565:WCL65663 WMH65565:WMH65663 WWD65565:WWD65663 D131100:D131198 JR131101:JR131199 TN131101:TN131199 ADJ131101:ADJ131199 ANF131101:ANF131199 AXB131101:AXB131199 BGX131101:BGX131199 BQT131101:BQT131199 CAP131101:CAP131199 CKL131101:CKL131199 CUH131101:CUH131199 DED131101:DED131199 DNZ131101:DNZ131199 DXV131101:DXV131199 EHR131101:EHR131199 ERN131101:ERN131199 FBJ131101:FBJ131199 FLF131101:FLF131199 FVB131101:FVB131199 GEX131101:GEX131199 GOT131101:GOT131199 GYP131101:GYP131199 HIL131101:HIL131199 HSH131101:HSH131199 ICD131101:ICD131199 ILZ131101:ILZ131199 IVV131101:IVV131199 JFR131101:JFR131199 JPN131101:JPN131199 JZJ131101:JZJ131199 KJF131101:KJF131199 KTB131101:KTB131199 LCX131101:LCX131199 LMT131101:LMT131199 LWP131101:LWP131199 MGL131101:MGL131199 MQH131101:MQH131199 NAD131101:NAD131199 NJZ131101:NJZ131199 NTV131101:NTV131199 ODR131101:ODR131199 ONN131101:ONN131199 OXJ131101:OXJ131199 PHF131101:PHF131199 PRB131101:PRB131199 QAX131101:QAX131199 QKT131101:QKT131199 QUP131101:QUP131199 REL131101:REL131199 ROH131101:ROH131199 RYD131101:RYD131199 SHZ131101:SHZ131199 SRV131101:SRV131199 TBR131101:TBR131199 TLN131101:TLN131199 TVJ131101:TVJ131199 UFF131101:UFF131199 UPB131101:UPB131199 UYX131101:UYX131199 VIT131101:VIT131199 VSP131101:VSP131199 WCL131101:WCL131199 WMH131101:WMH131199 WWD131101:WWD131199 D196636:D196734 JR196637:JR196735 TN196637:TN196735 ADJ196637:ADJ196735 ANF196637:ANF196735 AXB196637:AXB196735 BGX196637:BGX196735 BQT196637:BQT196735 CAP196637:CAP196735 CKL196637:CKL196735 CUH196637:CUH196735 DED196637:DED196735 DNZ196637:DNZ196735 DXV196637:DXV196735 EHR196637:EHR196735 ERN196637:ERN196735 FBJ196637:FBJ196735 FLF196637:FLF196735 FVB196637:FVB196735 GEX196637:GEX196735 GOT196637:GOT196735 GYP196637:GYP196735 HIL196637:HIL196735 HSH196637:HSH196735 ICD196637:ICD196735 ILZ196637:ILZ196735 IVV196637:IVV196735 JFR196637:JFR196735 JPN196637:JPN196735 JZJ196637:JZJ196735 KJF196637:KJF196735 KTB196637:KTB196735 LCX196637:LCX196735 LMT196637:LMT196735 LWP196637:LWP196735 MGL196637:MGL196735 MQH196637:MQH196735 NAD196637:NAD196735 NJZ196637:NJZ196735 NTV196637:NTV196735 ODR196637:ODR196735 ONN196637:ONN196735 OXJ196637:OXJ196735 PHF196637:PHF196735 PRB196637:PRB196735 QAX196637:QAX196735 QKT196637:QKT196735 QUP196637:QUP196735 REL196637:REL196735 ROH196637:ROH196735 RYD196637:RYD196735 SHZ196637:SHZ196735 SRV196637:SRV196735 TBR196637:TBR196735 TLN196637:TLN196735 TVJ196637:TVJ196735 UFF196637:UFF196735 UPB196637:UPB196735 UYX196637:UYX196735 VIT196637:VIT196735 VSP196637:VSP196735 WCL196637:WCL196735 WMH196637:WMH196735 WWD196637:WWD196735 D262172:D262270 JR262173:JR262271 TN262173:TN262271 ADJ262173:ADJ262271 ANF262173:ANF262271 AXB262173:AXB262271 BGX262173:BGX262271 BQT262173:BQT262271 CAP262173:CAP262271 CKL262173:CKL262271 CUH262173:CUH262271 DED262173:DED262271 DNZ262173:DNZ262271 DXV262173:DXV262271 EHR262173:EHR262271 ERN262173:ERN262271 FBJ262173:FBJ262271 FLF262173:FLF262271 FVB262173:FVB262271 GEX262173:GEX262271 GOT262173:GOT262271 GYP262173:GYP262271 HIL262173:HIL262271 HSH262173:HSH262271 ICD262173:ICD262271 ILZ262173:ILZ262271 IVV262173:IVV262271 JFR262173:JFR262271 JPN262173:JPN262271 JZJ262173:JZJ262271 KJF262173:KJF262271 KTB262173:KTB262271 LCX262173:LCX262271 LMT262173:LMT262271 LWP262173:LWP262271 MGL262173:MGL262271 MQH262173:MQH262271 NAD262173:NAD262271 NJZ262173:NJZ262271 NTV262173:NTV262271 ODR262173:ODR262271 ONN262173:ONN262271 OXJ262173:OXJ262271 PHF262173:PHF262271 PRB262173:PRB262271 QAX262173:QAX262271 QKT262173:QKT262271 QUP262173:QUP262271 REL262173:REL262271 ROH262173:ROH262271 RYD262173:RYD262271 SHZ262173:SHZ262271 SRV262173:SRV262271 TBR262173:TBR262271 TLN262173:TLN262271 TVJ262173:TVJ262271 UFF262173:UFF262271 UPB262173:UPB262271 UYX262173:UYX262271 VIT262173:VIT262271 VSP262173:VSP262271 WCL262173:WCL262271 WMH262173:WMH262271 WWD262173:WWD262271 D327708:D327806 JR327709:JR327807 TN327709:TN327807 ADJ327709:ADJ327807 ANF327709:ANF327807 AXB327709:AXB327807 BGX327709:BGX327807 BQT327709:BQT327807 CAP327709:CAP327807 CKL327709:CKL327807 CUH327709:CUH327807 DED327709:DED327807 DNZ327709:DNZ327807 DXV327709:DXV327807 EHR327709:EHR327807 ERN327709:ERN327807 FBJ327709:FBJ327807 FLF327709:FLF327807 FVB327709:FVB327807 GEX327709:GEX327807 GOT327709:GOT327807 GYP327709:GYP327807 HIL327709:HIL327807 HSH327709:HSH327807 ICD327709:ICD327807 ILZ327709:ILZ327807 IVV327709:IVV327807 JFR327709:JFR327807 JPN327709:JPN327807 JZJ327709:JZJ327807 KJF327709:KJF327807 KTB327709:KTB327807 LCX327709:LCX327807 LMT327709:LMT327807 LWP327709:LWP327807 MGL327709:MGL327807 MQH327709:MQH327807 NAD327709:NAD327807 NJZ327709:NJZ327807 NTV327709:NTV327807 ODR327709:ODR327807 ONN327709:ONN327807 OXJ327709:OXJ327807 PHF327709:PHF327807 PRB327709:PRB327807 QAX327709:QAX327807 QKT327709:QKT327807 QUP327709:QUP327807 REL327709:REL327807 ROH327709:ROH327807 RYD327709:RYD327807 SHZ327709:SHZ327807 SRV327709:SRV327807 TBR327709:TBR327807 TLN327709:TLN327807 TVJ327709:TVJ327807 UFF327709:UFF327807 UPB327709:UPB327807 UYX327709:UYX327807 VIT327709:VIT327807 VSP327709:VSP327807 WCL327709:WCL327807 WMH327709:WMH327807 WWD327709:WWD327807 D393244:D393342 JR393245:JR393343 TN393245:TN393343 ADJ393245:ADJ393343 ANF393245:ANF393343 AXB393245:AXB393343 BGX393245:BGX393343 BQT393245:BQT393343 CAP393245:CAP393343 CKL393245:CKL393343 CUH393245:CUH393343 DED393245:DED393343 DNZ393245:DNZ393343 DXV393245:DXV393343 EHR393245:EHR393343 ERN393245:ERN393343 FBJ393245:FBJ393343 FLF393245:FLF393343 FVB393245:FVB393343 GEX393245:GEX393343 GOT393245:GOT393343 GYP393245:GYP393343 HIL393245:HIL393343 HSH393245:HSH393343 ICD393245:ICD393343 ILZ393245:ILZ393343 IVV393245:IVV393343 JFR393245:JFR393343 JPN393245:JPN393343 JZJ393245:JZJ393343 KJF393245:KJF393343 KTB393245:KTB393343 LCX393245:LCX393343 LMT393245:LMT393343 LWP393245:LWP393343 MGL393245:MGL393343 MQH393245:MQH393343 NAD393245:NAD393343 NJZ393245:NJZ393343 NTV393245:NTV393343 ODR393245:ODR393343 ONN393245:ONN393343 OXJ393245:OXJ393343 PHF393245:PHF393343 PRB393245:PRB393343 QAX393245:QAX393343 QKT393245:QKT393343 QUP393245:QUP393343 REL393245:REL393343 ROH393245:ROH393343 RYD393245:RYD393343 SHZ393245:SHZ393343 SRV393245:SRV393343 TBR393245:TBR393343 TLN393245:TLN393343 TVJ393245:TVJ393343 UFF393245:UFF393343 UPB393245:UPB393343 UYX393245:UYX393343 VIT393245:VIT393343 VSP393245:VSP393343 WCL393245:WCL393343 WMH393245:WMH393343 WWD393245:WWD393343 D458780:D458878 JR458781:JR458879 TN458781:TN458879 ADJ458781:ADJ458879 ANF458781:ANF458879 AXB458781:AXB458879 BGX458781:BGX458879 BQT458781:BQT458879 CAP458781:CAP458879 CKL458781:CKL458879 CUH458781:CUH458879 DED458781:DED458879 DNZ458781:DNZ458879 DXV458781:DXV458879 EHR458781:EHR458879 ERN458781:ERN458879 FBJ458781:FBJ458879 FLF458781:FLF458879 FVB458781:FVB458879 GEX458781:GEX458879 GOT458781:GOT458879 GYP458781:GYP458879 HIL458781:HIL458879 HSH458781:HSH458879 ICD458781:ICD458879 ILZ458781:ILZ458879 IVV458781:IVV458879 JFR458781:JFR458879 JPN458781:JPN458879 JZJ458781:JZJ458879 KJF458781:KJF458879 KTB458781:KTB458879 LCX458781:LCX458879 LMT458781:LMT458879 LWP458781:LWP458879 MGL458781:MGL458879 MQH458781:MQH458879 NAD458781:NAD458879 NJZ458781:NJZ458879 NTV458781:NTV458879 ODR458781:ODR458879 ONN458781:ONN458879 OXJ458781:OXJ458879 PHF458781:PHF458879 PRB458781:PRB458879 QAX458781:QAX458879 QKT458781:QKT458879 QUP458781:QUP458879 REL458781:REL458879 ROH458781:ROH458879 RYD458781:RYD458879 SHZ458781:SHZ458879 SRV458781:SRV458879 TBR458781:TBR458879 TLN458781:TLN458879 TVJ458781:TVJ458879 UFF458781:UFF458879 UPB458781:UPB458879 UYX458781:UYX458879 VIT458781:VIT458879 VSP458781:VSP458879 WCL458781:WCL458879 WMH458781:WMH458879 WWD458781:WWD458879 D524316:D524414 JR524317:JR524415 TN524317:TN524415 ADJ524317:ADJ524415 ANF524317:ANF524415 AXB524317:AXB524415 BGX524317:BGX524415 BQT524317:BQT524415 CAP524317:CAP524415 CKL524317:CKL524415 CUH524317:CUH524415 DED524317:DED524415 DNZ524317:DNZ524415 DXV524317:DXV524415 EHR524317:EHR524415 ERN524317:ERN524415 FBJ524317:FBJ524415 FLF524317:FLF524415 FVB524317:FVB524415 GEX524317:GEX524415 GOT524317:GOT524415 GYP524317:GYP524415 HIL524317:HIL524415 HSH524317:HSH524415 ICD524317:ICD524415 ILZ524317:ILZ524415 IVV524317:IVV524415 JFR524317:JFR524415 JPN524317:JPN524415 JZJ524317:JZJ524415 KJF524317:KJF524415 KTB524317:KTB524415 LCX524317:LCX524415 LMT524317:LMT524415 LWP524317:LWP524415 MGL524317:MGL524415 MQH524317:MQH524415 NAD524317:NAD524415 NJZ524317:NJZ524415 NTV524317:NTV524415 ODR524317:ODR524415 ONN524317:ONN524415 OXJ524317:OXJ524415 PHF524317:PHF524415 PRB524317:PRB524415 QAX524317:QAX524415 QKT524317:QKT524415 QUP524317:QUP524415 REL524317:REL524415 ROH524317:ROH524415 RYD524317:RYD524415 SHZ524317:SHZ524415 SRV524317:SRV524415 TBR524317:TBR524415 TLN524317:TLN524415 TVJ524317:TVJ524415 UFF524317:UFF524415 UPB524317:UPB524415 UYX524317:UYX524415 VIT524317:VIT524415 VSP524317:VSP524415 WCL524317:WCL524415 WMH524317:WMH524415 WWD524317:WWD524415 D589852:D589950 JR589853:JR589951 TN589853:TN589951 ADJ589853:ADJ589951 ANF589853:ANF589951 AXB589853:AXB589951 BGX589853:BGX589951 BQT589853:BQT589951 CAP589853:CAP589951 CKL589853:CKL589951 CUH589853:CUH589951 DED589853:DED589951 DNZ589853:DNZ589951 DXV589853:DXV589951 EHR589853:EHR589951 ERN589853:ERN589951 FBJ589853:FBJ589951 FLF589853:FLF589951 FVB589853:FVB589951 GEX589853:GEX589951 GOT589853:GOT589951 GYP589853:GYP589951 HIL589853:HIL589951 HSH589853:HSH589951 ICD589853:ICD589951 ILZ589853:ILZ589951 IVV589853:IVV589951 JFR589853:JFR589951 JPN589853:JPN589951 JZJ589853:JZJ589951 KJF589853:KJF589951 KTB589853:KTB589951 LCX589853:LCX589951 LMT589853:LMT589951 LWP589853:LWP589951 MGL589853:MGL589951 MQH589853:MQH589951 NAD589853:NAD589951 NJZ589853:NJZ589951 NTV589853:NTV589951 ODR589853:ODR589951 ONN589853:ONN589951 OXJ589853:OXJ589951 PHF589853:PHF589951 PRB589853:PRB589951 QAX589853:QAX589951 QKT589853:QKT589951 QUP589853:QUP589951 REL589853:REL589951 ROH589853:ROH589951 RYD589853:RYD589951 SHZ589853:SHZ589951 SRV589853:SRV589951 TBR589853:TBR589951 TLN589853:TLN589951 TVJ589853:TVJ589951 UFF589853:UFF589951 UPB589853:UPB589951 UYX589853:UYX589951 VIT589853:VIT589951 VSP589853:VSP589951 WCL589853:WCL589951 WMH589853:WMH589951 WWD589853:WWD589951 D655388:D655486 JR655389:JR655487 TN655389:TN655487 ADJ655389:ADJ655487 ANF655389:ANF655487 AXB655389:AXB655487 BGX655389:BGX655487 BQT655389:BQT655487 CAP655389:CAP655487 CKL655389:CKL655487 CUH655389:CUH655487 DED655389:DED655487 DNZ655389:DNZ655487 DXV655389:DXV655487 EHR655389:EHR655487 ERN655389:ERN655487 FBJ655389:FBJ655487 FLF655389:FLF655487 FVB655389:FVB655487 GEX655389:GEX655487 GOT655389:GOT655487 GYP655389:GYP655487 HIL655389:HIL655487 HSH655389:HSH655487 ICD655389:ICD655487 ILZ655389:ILZ655487 IVV655389:IVV655487 JFR655389:JFR655487 JPN655389:JPN655487 JZJ655389:JZJ655487 KJF655389:KJF655487 KTB655389:KTB655487 LCX655389:LCX655487 LMT655389:LMT655487 LWP655389:LWP655487 MGL655389:MGL655487 MQH655389:MQH655487 NAD655389:NAD655487 NJZ655389:NJZ655487 NTV655389:NTV655487 ODR655389:ODR655487 ONN655389:ONN655487 OXJ655389:OXJ655487 PHF655389:PHF655487 PRB655389:PRB655487 QAX655389:QAX655487 QKT655389:QKT655487 QUP655389:QUP655487 REL655389:REL655487 ROH655389:ROH655487 RYD655389:RYD655487 SHZ655389:SHZ655487 SRV655389:SRV655487 TBR655389:TBR655487 TLN655389:TLN655487 TVJ655389:TVJ655487 UFF655389:UFF655487 UPB655389:UPB655487 UYX655389:UYX655487 VIT655389:VIT655487 VSP655389:VSP655487 WCL655389:WCL655487 WMH655389:WMH655487 WWD655389:WWD655487 D720924:D721022 JR720925:JR721023 TN720925:TN721023 ADJ720925:ADJ721023 ANF720925:ANF721023 AXB720925:AXB721023 BGX720925:BGX721023 BQT720925:BQT721023 CAP720925:CAP721023 CKL720925:CKL721023 CUH720925:CUH721023 DED720925:DED721023 DNZ720925:DNZ721023 DXV720925:DXV721023 EHR720925:EHR721023 ERN720925:ERN721023 FBJ720925:FBJ721023 FLF720925:FLF721023 FVB720925:FVB721023 GEX720925:GEX721023 GOT720925:GOT721023 GYP720925:GYP721023 HIL720925:HIL721023 HSH720925:HSH721023 ICD720925:ICD721023 ILZ720925:ILZ721023 IVV720925:IVV721023 JFR720925:JFR721023 JPN720925:JPN721023 JZJ720925:JZJ721023 KJF720925:KJF721023 KTB720925:KTB721023 LCX720925:LCX721023 LMT720925:LMT721023 LWP720925:LWP721023 MGL720925:MGL721023 MQH720925:MQH721023 NAD720925:NAD721023 NJZ720925:NJZ721023 NTV720925:NTV721023 ODR720925:ODR721023 ONN720925:ONN721023 OXJ720925:OXJ721023 PHF720925:PHF721023 PRB720925:PRB721023 QAX720925:QAX721023 QKT720925:QKT721023 QUP720925:QUP721023 REL720925:REL721023 ROH720925:ROH721023 RYD720925:RYD721023 SHZ720925:SHZ721023 SRV720925:SRV721023 TBR720925:TBR721023 TLN720925:TLN721023 TVJ720925:TVJ721023 UFF720925:UFF721023 UPB720925:UPB721023 UYX720925:UYX721023 VIT720925:VIT721023 VSP720925:VSP721023 WCL720925:WCL721023 WMH720925:WMH721023 WWD720925:WWD721023 D786460:D786558 JR786461:JR786559 TN786461:TN786559 ADJ786461:ADJ786559 ANF786461:ANF786559 AXB786461:AXB786559 BGX786461:BGX786559 BQT786461:BQT786559 CAP786461:CAP786559 CKL786461:CKL786559 CUH786461:CUH786559 DED786461:DED786559 DNZ786461:DNZ786559 DXV786461:DXV786559 EHR786461:EHR786559 ERN786461:ERN786559 FBJ786461:FBJ786559 FLF786461:FLF786559 FVB786461:FVB786559 GEX786461:GEX786559 GOT786461:GOT786559 GYP786461:GYP786559 HIL786461:HIL786559 HSH786461:HSH786559 ICD786461:ICD786559 ILZ786461:ILZ786559 IVV786461:IVV786559 JFR786461:JFR786559 JPN786461:JPN786559 JZJ786461:JZJ786559 KJF786461:KJF786559 KTB786461:KTB786559 LCX786461:LCX786559 LMT786461:LMT786559 LWP786461:LWP786559 MGL786461:MGL786559 MQH786461:MQH786559 NAD786461:NAD786559 NJZ786461:NJZ786559 NTV786461:NTV786559 ODR786461:ODR786559 ONN786461:ONN786559 OXJ786461:OXJ786559 PHF786461:PHF786559 PRB786461:PRB786559 QAX786461:QAX786559 QKT786461:QKT786559 QUP786461:QUP786559 REL786461:REL786559 ROH786461:ROH786559 RYD786461:RYD786559 SHZ786461:SHZ786559 SRV786461:SRV786559 TBR786461:TBR786559 TLN786461:TLN786559 TVJ786461:TVJ786559 UFF786461:UFF786559 UPB786461:UPB786559 UYX786461:UYX786559 VIT786461:VIT786559 VSP786461:VSP786559 WCL786461:WCL786559 WMH786461:WMH786559 WWD786461:WWD786559 D851996:D852094 JR851997:JR852095 TN851997:TN852095 ADJ851997:ADJ852095 ANF851997:ANF852095 AXB851997:AXB852095 BGX851997:BGX852095 BQT851997:BQT852095 CAP851997:CAP852095 CKL851997:CKL852095 CUH851997:CUH852095 DED851997:DED852095 DNZ851997:DNZ852095 DXV851997:DXV852095 EHR851997:EHR852095 ERN851997:ERN852095 FBJ851997:FBJ852095 FLF851997:FLF852095 FVB851997:FVB852095 GEX851997:GEX852095 GOT851997:GOT852095 GYP851997:GYP852095 HIL851997:HIL852095 HSH851997:HSH852095 ICD851997:ICD852095 ILZ851997:ILZ852095 IVV851997:IVV852095 JFR851997:JFR852095 JPN851997:JPN852095 JZJ851997:JZJ852095 KJF851997:KJF852095 KTB851997:KTB852095 LCX851997:LCX852095 LMT851997:LMT852095 LWP851997:LWP852095 MGL851997:MGL852095 MQH851997:MQH852095 NAD851997:NAD852095 NJZ851997:NJZ852095 NTV851997:NTV852095 ODR851997:ODR852095 ONN851997:ONN852095 OXJ851997:OXJ852095 PHF851997:PHF852095 PRB851997:PRB852095 QAX851997:QAX852095 QKT851997:QKT852095 QUP851997:QUP852095 REL851997:REL852095 ROH851997:ROH852095 RYD851997:RYD852095 SHZ851997:SHZ852095 SRV851997:SRV852095 TBR851997:TBR852095 TLN851997:TLN852095 TVJ851997:TVJ852095 UFF851997:UFF852095 UPB851997:UPB852095 UYX851997:UYX852095 VIT851997:VIT852095 VSP851997:VSP852095 WCL851997:WCL852095 WMH851997:WMH852095 WWD851997:WWD852095 D917532:D917630 JR917533:JR917631 TN917533:TN917631 ADJ917533:ADJ917631 ANF917533:ANF917631 AXB917533:AXB917631 BGX917533:BGX917631 BQT917533:BQT917631 CAP917533:CAP917631 CKL917533:CKL917631 CUH917533:CUH917631 DED917533:DED917631 DNZ917533:DNZ917631 DXV917533:DXV917631 EHR917533:EHR917631 ERN917533:ERN917631 FBJ917533:FBJ917631 FLF917533:FLF917631 FVB917533:FVB917631 GEX917533:GEX917631 GOT917533:GOT917631 GYP917533:GYP917631 HIL917533:HIL917631 HSH917533:HSH917631 ICD917533:ICD917631 ILZ917533:ILZ917631 IVV917533:IVV917631 JFR917533:JFR917631 JPN917533:JPN917631 JZJ917533:JZJ917631 KJF917533:KJF917631 KTB917533:KTB917631 LCX917533:LCX917631 LMT917533:LMT917631 LWP917533:LWP917631 MGL917533:MGL917631 MQH917533:MQH917631 NAD917533:NAD917631 NJZ917533:NJZ917631 NTV917533:NTV917631 ODR917533:ODR917631 ONN917533:ONN917631 OXJ917533:OXJ917631 PHF917533:PHF917631 PRB917533:PRB917631 QAX917533:QAX917631 QKT917533:QKT917631 QUP917533:QUP917631 REL917533:REL917631 ROH917533:ROH917631 RYD917533:RYD917631 SHZ917533:SHZ917631 SRV917533:SRV917631 TBR917533:TBR917631 TLN917533:TLN917631 TVJ917533:TVJ917631 UFF917533:UFF917631 UPB917533:UPB917631 UYX917533:UYX917631 VIT917533:VIT917631 VSP917533:VSP917631 WCL917533:WCL917631 WMH917533:WMH917631 WWD917533:WWD917631 D983068:D983166 JR983069:JR983167 TN983069:TN983167 ADJ983069:ADJ983167 ANF983069:ANF983167 AXB983069:AXB983167 BGX983069:BGX983167 BQT983069:BQT983167 CAP983069:CAP983167 CKL983069:CKL983167 CUH983069:CUH983167 DED983069:DED983167 DNZ983069:DNZ983167 DXV983069:DXV983167 EHR983069:EHR983167 ERN983069:ERN983167 FBJ983069:FBJ983167 FLF983069:FLF983167 FVB983069:FVB983167 GEX983069:GEX983167 GOT983069:GOT983167 GYP983069:GYP983167 HIL983069:HIL983167 HSH983069:HSH983167 ICD983069:ICD983167 ILZ983069:ILZ983167 IVV983069:IVV983167 JFR983069:JFR983167 JPN983069:JPN983167 JZJ983069:JZJ983167 KJF983069:KJF983167 KTB983069:KTB983167 LCX983069:LCX983167 LMT983069:LMT983167 LWP983069:LWP983167 MGL983069:MGL983167 MQH983069:MQH983167 NAD983069:NAD983167 NJZ983069:NJZ983167 NTV983069:NTV983167 ODR983069:ODR983167 ONN983069:ONN983167 OXJ983069:OXJ983167 PHF983069:PHF983167 PRB983069:PRB983167 QAX983069:QAX983167 QKT983069:QKT983167 QUP983069:QUP983167 REL983069:REL983167 ROH983069:ROH983167 RYD983069:RYD983167 SHZ983069:SHZ983167 SRV983069:SRV983167 TBR983069:TBR983167 TLN983069:TLN983167 TVJ983069:TVJ983167 UFF983069:UFF983167 UPB983069:UPB983167 UYX983069:UYX983167 VIT983069:VIT983167 VSP983069:VSP983167 WCL983069:WCL983167 WMH983069:WMH983167 WWD983069:WWD983167 TN28:TN126">
      <formula1>$D$136:$D$145</formula1>
    </dataValidation>
    <dataValidation type="list" errorStyle="information" allowBlank="1" showErrorMessage="1" errorTitle="Issuance to Parent" error="Please input either:_x000a__x000a_Y = Yes_x000a_N = No" sqref="JT28:JT126 AM28:AM126 I65564:J65662 I131100:J131198 I196636:J196734 I262172:J262270 I327708:J327806 I393244:J393342 I458780:J458878 I524316:J524414 I589852:J589950 I655388:J655486 I720924:J721022 I786460:J786558 I851996:J852094 I917532:J917630 I983068:J983166 I28:I126 WWF983069:WWF983167 TP28:TP126 ADL28:ADL126 ANH28:ANH126 AXD28:AXD126 BGZ28:BGZ126 BQV28:BQV126 CAR28:CAR126 CKN28:CKN126 CUJ28:CUJ126 DEF28:DEF126 DOB28:DOB126 DXX28:DXX126 EHT28:EHT126 ERP28:ERP126 FBL28:FBL126 FLH28:FLH126 FVD28:FVD126 GEZ28:GEZ126 GOV28:GOV126 GYR28:GYR126 HIN28:HIN126 HSJ28:HSJ126 ICF28:ICF126 IMB28:IMB126 IVX28:IVX126 JFT28:JFT126 JPP28:JPP126 JZL28:JZL126 KJH28:KJH126 KTD28:KTD126 LCZ28:LCZ126 LMV28:LMV126 LWR28:LWR126 MGN28:MGN126 MQJ28:MQJ126 NAF28:NAF126 NKB28:NKB126 NTX28:NTX126 ODT28:ODT126 ONP28:ONP126 OXL28:OXL126 PHH28:PHH126 PRD28:PRD126 QAZ28:QAZ126 QKV28:QKV126 QUR28:QUR126 REN28:REN126 ROJ28:ROJ126 RYF28:RYF126 SIB28:SIB126 SRX28:SRX126 TBT28:TBT126 TLP28:TLP126 TVL28:TVL126 UFH28:UFH126 UPD28:UPD126 UYZ28:UYZ126 VIV28:VIV126 VSR28:VSR126 WCN28:WCN126 WMJ28:WMJ126 WWF28:WWF126 JT65565:JT65663 TP65565:TP65663 ADL65565:ADL65663 ANH65565:ANH65663 AXD65565:AXD65663 BGZ65565:BGZ65663 BQV65565:BQV65663 CAR65565:CAR65663 CKN65565:CKN65663 CUJ65565:CUJ65663 DEF65565:DEF65663 DOB65565:DOB65663 DXX65565:DXX65663 EHT65565:EHT65663 ERP65565:ERP65663 FBL65565:FBL65663 FLH65565:FLH65663 FVD65565:FVD65663 GEZ65565:GEZ65663 GOV65565:GOV65663 GYR65565:GYR65663 HIN65565:HIN65663 HSJ65565:HSJ65663 ICF65565:ICF65663 IMB65565:IMB65663 IVX65565:IVX65663 JFT65565:JFT65663 JPP65565:JPP65663 JZL65565:JZL65663 KJH65565:KJH65663 KTD65565:KTD65663 LCZ65565:LCZ65663 LMV65565:LMV65663 LWR65565:LWR65663 MGN65565:MGN65663 MQJ65565:MQJ65663 NAF65565:NAF65663 NKB65565:NKB65663 NTX65565:NTX65663 ODT65565:ODT65663 ONP65565:ONP65663 OXL65565:OXL65663 PHH65565:PHH65663 PRD65565:PRD65663 QAZ65565:QAZ65663 QKV65565:QKV65663 QUR65565:QUR65663 REN65565:REN65663 ROJ65565:ROJ65663 RYF65565:RYF65663 SIB65565:SIB65663 SRX65565:SRX65663 TBT65565:TBT65663 TLP65565:TLP65663 TVL65565:TVL65663 UFH65565:UFH65663 UPD65565:UPD65663 UYZ65565:UYZ65663 VIV65565:VIV65663 VSR65565:VSR65663 WCN65565:WCN65663 WMJ65565:WMJ65663 WWF65565:WWF65663 JT131101:JT131199 TP131101:TP131199 ADL131101:ADL131199 ANH131101:ANH131199 AXD131101:AXD131199 BGZ131101:BGZ131199 BQV131101:BQV131199 CAR131101:CAR131199 CKN131101:CKN131199 CUJ131101:CUJ131199 DEF131101:DEF131199 DOB131101:DOB131199 DXX131101:DXX131199 EHT131101:EHT131199 ERP131101:ERP131199 FBL131101:FBL131199 FLH131101:FLH131199 FVD131101:FVD131199 GEZ131101:GEZ131199 GOV131101:GOV131199 GYR131101:GYR131199 HIN131101:HIN131199 HSJ131101:HSJ131199 ICF131101:ICF131199 IMB131101:IMB131199 IVX131101:IVX131199 JFT131101:JFT131199 JPP131101:JPP131199 JZL131101:JZL131199 KJH131101:KJH131199 KTD131101:KTD131199 LCZ131101:LCZ131199 LMV131101:LMV131199 LWR131101:LWR131199 MGN131101:MGN131199 MQJ131101:MQJ131199 NAF131101:NAF131199 NKB131101:NKB131199 NTX131101:NTX131199 ODT131101:ODT131199 ONP131101:ONP131199 OXL131101:OXL131199 PHH131101:PHH131199 PRD131101:PRD131199 QAZ131101:QAZ131199 QKV131101:QKV131199 QUR131101:QUR131199 REN131101:REN131199 ROJ131101:ROJ131199 RYF131101:RYF131199 SIB131101:SIB131199 SRX131101:SRX131199 TBT131101:TBT131199 TLP131101:TLP131199 TVL131101:TVL131199 UFH131101:UFH131199 UPD131101:UPD131199 UYZ131101:UYZ131199 VIV131101:VIV131199 VSR131101:VSR131199 WCN131101:WCN131199 WMJ131101:WMJ131199 WWF131101:WWF131199 JT196637:JT196735 TP196637:TP196735 ADL196637:ADL196735 ANH196637:ANH196735 AXD196637:AXD196735 BGZ196637:BGZ196735 BQV196637:BQV196735 CAR196637:CAR196735 CKN196637:CKN196735 CUJ196637:CUJ196735 DEF196637:DEF196735 DOB196637:DOB196735 DXX196637:DXX196735 EHT196637:EHT196735 ERP196637:ERP196735 FBL196637:FBL196735 FLH196637:FLH196735 FVD196637:FVD196735 GEZ196637:GEZ196735 GOV196637:GOV196735 GYR196637:GYR196735 HIN196637:HIN196735 HSJ196637:HSJ196735 ICF196637:ICF196735 IMB196637:IMB196735 IVX196637:IVX196735 JFT196637:JFT196735 JPP196637:JPP196735 JZL196637:JZL196735 KJH196637:KJH196735 KTD196637:KTD196735 LCZ196637:LCZ196735 LMV196637:LMV196735 LWR196637:LWR196735 MGN196637:MGN196735 MQJ196637:MQJ196735 NAF196637:NAF196735 NKB196637:NKB196735 NTX196637:NTX196735 ODT196637:ODT196735 ONP196637:ONP196735 OXL196637:OXL196735 PHH196637:PHH196735 PRD196637:PRD196735 QAZ196637:QAZ196735 QKV196637:QKV196735 QUR196637:QUR196735 REN196637:REN196735 ROJ196637:ROJ196735 RYF196637:RYF196735 SIB196637:SIB196735 SRX196637:SRX196735 TBT196637:TBT196735 TLP196637:TLP196735 TVL196637:TVL196735 UFH196637:UFH196735 UPD196637:UPD196735 UYZ196637:UYZ196735 VIV196637:VIV196735 VSR196637:VSR196735 WCN196637:WCN196735 WMJ196637:WMJ196735 WWF196637:WWF196735 JT262173:JT262271 TP262173:TP262271 ADL262173:ADL262271 ANH262173:ANH262271 AXD262173:AXD262271 BGZ262173:BGZ262271 BQV262173:BQV262271 CAR262173:CAR262271 CKN262173:CKN262271 CUJ262173:CUJ262271 DEF262173:DEF262271 DOB262173:DOB262271 DXX262173:DXX262271 EHT262173:EHT262271 ERP262173:ERP262271 FBL262173:FBL262271 FLH262173:FLH262271 FVD262173:FVD262271 GEZ262173:GEZ262271 GOV262173:GOV262271 GYR262173:GYR262271 HIN262173:HIN262271 HSJ262173:HSJ262271 ICF262173:ICF262271 IMB262173:IMB262271 IVX262173:IVX262271 JFT262173:JFT262271 JPP262173:JPP262271 JZL262173:JZL262271 KJH262173:KJH262271 KTD262173:KTD262271 LCZ262173:LCZ262271 LMV262173:LMV262271 LWR262173:LWR262271 MGN262173:MGN262271 MQJ262173:MQJ262271 NAF262173:NAF262271 NKB262173:NKB262271 NTX262173:NTX262271 ODT262173:ODT262271 ONP262173:ONP262271 OXL262173:OXL262271 PHH262173:PHH262271 PRD262173:PRD262271 QAZ262173:QAZ262271 QKV262173:QKV262271 QUR262173:QUR262271 REN262173:REN262271 ROJ262173:ROJ262271 RYF262173:RYF262271 SIB262173:SIB262271 SRX262173:SRX262271 TBT262173:TBT262271 TLP262173:TLP262271 TVL262173:TVL262271 UFH262173:UFH262271 UPD262173:UPD262271 UYZ262173:UYZ262271 VIV262173:VIV262271 VSR262173:VSR262271 WCN262173:WCN262271 WMJ262173:WMJ262271 WWF262173:WWF262271 JT327709:JT327807 TP327709:TP327807 ADL327709:ADL327807 ANH327709:ANH327807 AXD327709:AXD327807 BGZ327709:BGZ327807 BQV327709:BQV327807 CAR327709:CAR327807 CKN327709:CKN327807 CUJ327709:CUJ327807 DEF327709:DEF327807 DOB327709:DOB327807 DXX327709:DXX327807 EHT327709:EHT327807 ERP327709:ERP327807 FBL327709:FBL327807 FLH327709:FLH327807 FVD327709:FVD327807 GEZ327709:GEZ327807 GOV327709:GOV327807 GYR327709:GYR327807 HIN327709:HIN327807 HSJ327709:HSJ327807 ICF327709:ICF327807 IMB327709:IMB327807 IVX327709:IVX327807 JFT327709:JFT327807 JPP327709:JPP327807 JZL327709:JZL327807 KJH327709:KJH327807 KTD327709:KTD327807 LCZ327709:LCZ327807 LMV327709:LMV327807 LWR327709:LWR327807 MGN327709:MGN327807 MQJ327709:MQJ327807 NAF327709:NAF327807 NKB327709:NKB327807 NTX327709:NTX327807 ODT327709:ODT327807 ONP327709:ONP327807 OXL327709:OXL327807 PHH327709:PHH327807 PRD327709:PRD327807 QAZ327709:QAZ327807 QKV327709:QKV327807 QUR327709:QUR327807 REN327709:REN327807 ROJ327709:ROJ327807 RYF327709:RYF327807 SIB327709:SIB327807 SRX327709:SRX327807 TBT327709:TBT327807 TLP327709:TLP327807 TVL327709:TVL327807 UFH327709:UFH327807 UPD327709:UPD327807 UYZ327709:UYZ327807 VIV327709:VIV327807 VSR327709:VSR327807 WCN327709:WCN327807 WMJ327709:WMJ327807 WWF327709:WWF327807 JT393245:JT393343 TP393245:TP393343 ADL393245:ADL393343 ANH393245:ANH393343 AXD393245:AXD393343 BGZ393245:BGZ393343 BQV393245:BQV393343 CAR393245:CAR393343 CKN393245:CKN393343 CUJ393245:CUJ393343 DEF393245:DEF393343 DOB393245:DOB393343 DXX393245:DXX393343 EHT393245:EHT393343 ERP393245:ERP393343 FBL393245:FBL393343 FLH393245:FLH393343 FVD393245:FVD393343 GEZ393245:GEZ393343 GOV393245:GOV393343 GYR393245:GYR393343 HIN393245:HIN393343 HSJ393245:HSJ393343 ICF393245:ICF393343 IMB393245:IMB393343 IVX393245:IVX393343 JFT393245:JFT393343 JPP393245:JPP393343 JZL393245:JZL393343 KJH393245:KJH393343 KTD393245:KTD393343 LCZ393245:LCZ393343 LMV393245:LMV393343 LWR393245:LWR393343 MGN393245:MGN393343 MQJ393245:MQJ393343 NAF393245:NAF393343 NKB393245:NKB393343 NTX393245:NTX393343 ODT393245:ODT393343 ONP393245:ONP393343 OXL393245:OXL393343 PHH393245:PHH393343 PRD393245:PRD393343 QAZ393245:QAZ393343 QKV393245:QKV393343 QUR393245:QUR393343 REN393245:REN393343 ROJ393245:ROJ393343 RYF393245:RYF393343 SIB393245:SIB393343 SRX393245:SRX393343 TBT393245:TBT393343 TLP393245:TLP393343 TVL393245:TVL393343 UFH393245:UFH393343 UPD393245:UPD393343 UYZ393245:UYZ393343 VIV393245:VIV393343 VSR393245:VSR393343 WCN393245:WCN393343 WMJ393245:WMJ393343 WWF393245:WWF393343 JT458781:JT458879 TP458781:TP458879 ADL458781:ADL458879 ANH458781:ANH458879 AXD458781:AXD458879 BGZ458781:BGZ458879 BQV458781:BQV458879 CAR458781:CAR458879 CKN458781:CKN458879 CUJ458781:CUJ458879 DEF458781:DEF458879 DOB458781:DOB458879 DXX458781:DXX458879 EHT458781:EHT458879 ERP458781:ERP458879 FBL458781:FBL458879 FLH458781:FLH458879 FVD458781:FVD458879 GEZ458781:GEZ458879 GOV458781:GOV458879 GYR458781:GYR458879 HIN458781:HIN458879 HSJ458781:HSJ458879 ICF458781:ICF458879 IMB458781:IMB458879 IVX458781:IVX458879 JFT458781:JFT458879 JPP458781:JPP458879 JZL458781:JZL458879 KJH458781:KJH458879 KTD458781:KTD458879 LCZ458781:LCZ458879 LMV458781:LMV458879 LWR458781:LWR458879 MGN458781:MGN458879 MQJ458781:MQJ458879 NAF458781:NAF458879 NKB458781:NKB458879 NTX458781:NTX458879 ODT458781:ODT458879 ONP458781:ONP458879 OXL458781:OXL458879 PHH458781:PHH458879 PRD458781:PRD458879 QAZ458781:QAZ458879 QKV458781:QKV458879 QUR458781:QUR458879 REN458781:REN458879 ROJ458781:ROJ458879 RYF458781:RYF458879 SIB458781:SIB458879 SRX458781:SRX458879 TBT458781:TBT458879 TLP458781:TLP458879 TVL458781:TVL458879 UFH458781:UFH458879 UPD458781:UPD458879 UYZ458781:UYZ458879 VIV458781:VIV458879 VSR458781:VSR458879 WCN458781:WCN458879 WMJ458781:WMJ458879 WWF458781:WWF458879 JT524317:JT524415 TP524317:TP524415 ADL524317:ADL524415 ANH524317:ANH524415 AXD524317:AXD524415 BGZ524317:BGZ524415 BQV524317:BQV524415 CAR524317:CAR524415 CKN524317:CKN524415 CUJ524317:CUJ524415 DEF524317:DEF524415 DOB524317:DOB524415 DXX524317:DXX524415 EHT524317:EHT524415 ERP524317:ERP524415 FBL524317:FBL524415 FLH524317:FLH524415 FVD524317:FVD524415 GEZ524317:GEZ524415 GOV524317:GOV524415 GYR524317:GYR524415 HIN524317:HIN524415 HSJ524317:HSJ524415 ICF524317:ICF524415 IMB524317:IMB524415 IVX524317:IVX524415 JFT524317:JFT524415 JPP524317:JPP524415 JZL524317:JZL524415 KJH524317:KJH524415 KTD524317:KTD524415 LCZ524317:LCZ524415 LMV524317:LMV524415 LWR524317:LWR524415 MGN524317:MGN524415 MQJ524317:MQJ524415 NAF524317:NAF524415 NKB524317:NKB524415 NTX524317:NTX524415 ODT524317:ODT524415 ONP524317:ONP524415 OXL524317:OXL524415 PHH524317:PHH524415 PRD524317:PRD524415 QAZ524317:QAZ524415 QKV524317:QKV524415 QUR524317:QUR524415 REN524317:REN524415 ROJ524317:ROJ524415 RYF524317:RYF524415 SIB524317:SIB524415 SRX524317:SRX524415 TBT524317:TBT524415 TLP524317:TLP524415 TVL524317:TVL524415 UFH524317:UFH524415 UPD524317:UPD524415 UYZ524317:UYZ524415 VIV524317:VIV524415 VSR524317:VSR524415 WCN524317:WCN524415 WMJ524317:WMJ524415 WWF524317:WWF524415 JT589853:JT589951 TP589853:TP589951 ADL589853:ADL589951 ANH589853:ANH589951 AXD589853:AXD589951 BGZ589853:BGZ589951 BQV589853:BQV589951 CAR589853:CAR589951 CKN589853:CKN589951 CUJ589853:CUJ589951 DEF589853:DEF589951 DOB589853:DOB589951 DXX589853:DXX589951 EHT589853:EHT589951 ERP589853:ERP589951 FBL589853:FBL589951 FLH589853:FLH589951 FVD589853:FVD589951 GEZ589853:GEZ589951 GOV589853:GOV589951 GYR589853:GYR589951 HIN589853:HIN589951 HSJ589853:HSJ589951 ICF589853:ICF589951 IMB589853:IMB589951 IVX589853:IVX589951 JFT589853:JFT589951 JPP589853:JPP589951 JZL589853:JZL589951 KJH589853:KJH589951 KTD589853:KTD589951 LCZ589853:LCZ589951 LMV589853:LMV589951 LWR589853:LWR589951 MGN589853:MGN589951 MQJ589853:MQJ589951 NAF589853:NAF589951 NKB589853:NKB589951 NTX589853:NTX589951 ODT589853:ODT589951 ONP589853:ONP589951 OXL589853:OXL589951 PHH589853:PHH589951 PRD589853:PRD589951 QAZ589853:QAZ589951 QKV589853:QKV589951 QUR589853:QUR589951 REN589853:REN589951 ROJ589853:ROJ589951 RYF589853:RYF589951 SIB589853:SIB589951 SRX589853:SRX589951 TBT589853:TBT589951 TLP589853:TLP589951 TVL589853:TVL589951 UFH589853:UFH589951 UPD589853:UPD589951 UYZ589853:UYZ589951 VIV589853:VIV589951 VSR589853:VSR589951 WCN589853:WCN589951 WMJ589853:WMJ589951 WWF589853:WWF589951 JT655389:JT655487 TP655389:TP655487 ADL655389:ADL655487 ANH655389:ANH655487 AXD655389:AXD655487 BGZ655389:BGZ655487 BQV655389:BQV655487 CAR655389:CAR655487 CKN655389:CKN655487 CUJ655389:CUJ655487 DEF655389:DEF655487 DOB655389:DOB655487 DXX655389:DXX655487 EHT655389:EHT655487 ERP655389:ERP655487 FBL655389:FBL655487 FLH655389:FLH655487 FVD655389:FVD655487 GEZ655389:GEZ655487 GOV655389:GOV655487 GYR655389:GYR655487 HIN655389:HIN655487 HSJ655389:HSJ655487 ICF655389:ICF655487 IMB655389:IMB655487 IVX655389:IVX655487 JFT655389:JFT655487 JPP655389:JPP655487 JZL655389:JZL655487 KJH655389:KJH655487 KTD655389:KTD655487 LCZ655389:LCZ655487 LMV655389:LMV655487 LWR655389:LWR655487 MGN655389:MGN655487 MQJ655389:MQJ655487 NAF655389:NAF655487 NKB655389:NKB655487 NTX655389:NTX655487 ODT655389:ODT655487 ONP655389:ONP655487 OXL655389:OXL655487 PHH655389:PHH655487 PRD655389:PRD655487 QAZ655389:QAZ655487 QKV655389:QKV655487 QUR655389:QUR655487 REN655389:REN655487 ROJ655389:ROJ655487 RYF655389:RYF655487 SIB655389:SIB655487 SRX655389:SRX655487 TBT655389:TBT655487 TLP655389:TLP655487 TVL655389:TVL655487 UFH655389:UFH655487 UPD655389:UPD655487 UYZ655389:UYZ655487 VIV655389:VIV655487 VSR655389:VSR655487 WCN655389:WCN655487 WMJ655389:WMJ655487 WWF655389:WWF655487 JT720925:JT721023 TP720925:TP721023 ADL720925:ADL721023 ANH720925:ANH721023 AXD720925:AXD721023 BGZ720925:BGZ721023 BQV720925:BQV721023 CAR720925:CAR721023 CKN720925:CKN721023 CUJ720925:CUJ721023 DEF720925:DEF721023 DOB720925:DOB721023 DXX720925:DXX721023 EHT720925:EHT721023 ERP720925:ERP721023 FBL720925:FBL721023 FLH720925:FLH721023 FVD720925:FVD721023 GEZ720925:GEZ721023 GOV720925:GOV721023 GYR720925:GYR721023 HIN720925:HIN721023 HSJ720925:HSJ721023 ICF720925:ICF721023 IMB720925:IMB721023 IVX720925:IVX721023 JFT720925:JFT721023 JPP720925:JPP721023 JZL720925:JZL721023 KJH720925:KJH721023 KTD720925:KTD721023 LCZ720925:LCZ721023 LMV720925:LMV721023 LWR720925:LWR721023 MGN720925:MGN721023 MQJ720925:MQJ721023 NAF720925:NAF721023 NKB720925:NKB721023 NTX720925:NTX721023 ODT720925:ODT721023 ONP720925:ONP721023 OXL720925:OXL721023 PHH720925:PHH721023 PRD720925:PRD721023 QAZ720925:QAZ721023 QKV720925:QKV721023 QUR720925:QUR721023 REN720925:REN721023 ROJ720925:ROJ721023 RYF720925:RYF721023 SIB720925:SIB721023 SRX720925:SRX721023 TBT720925:TBT721023 TLP720925:TLP721023 TVL720925:TVL721023 UFH720925:UFH721023 UPD720925:UPD721023 UYZ720925:UYZ721023 VIV720925:VIV721023 VSR720925:VSR721023 WCN720925:WCN721023 WMJ720925:WMJ721023 WWF720925:WWF721023 JT786461:JT786559 TP786461:TP786559 ADL786461:ADL786559 ANH786461:ANH786559 AXD786461:AXD786559 BGZ786461:BGZ786559 BQV786461:BQV786559 CAR786461:CAR786559 CKN786461:CKN786559 CUJ786461:CUJ786559 DEF786461:DEF786559 DOB786461:DOB786559 DXX786461:DXX786559 EHT786461:EHT786559 ERP786461:ERP786559 FBL786461:FBL786559 FLH786461:FLH786559 FVD786461:FVD786559 GEZ786461:GEZ786559 GOV786461:GOV786559 GYR786461:GYR786559 HIN786461:HIN786559 HSJ786461:HSJ786559 ICF786461:ICF786559 IMB786461:IMB786559 IVX786461:IVX786559 JFT786461:JFT786559 JPP786461:JPP786559 JZL786461:JZL786559 KJH786461:KJH786559 KTD786461:KTD786559 LCZ786461:LCZ786559 LMV786461:LMV786559 LWR786461:LWR786559 MGN786461:MGN786559 MQJ786461:MQJ786559 NAF786461:NAF786559 NKB786461:NKB786559 NTX786461:NTX786559 ODT786461:ODT786559 ONP786461:ONP786559 OXL786461:OXL786559 PHH786461:PHH786559 PRD786461:PRD786559 QAZ786461:QAZ786559 QKV786461:QKV786559 QUR786461:QUR786559 REN786461:REN786559 ROJ786461:ROJ786559 RYF786461:RYF786559 SIB786461:SIB786559 SRX786461:SRX786559 TBT786461:TBT786559 TLP786461:TLP786559 TVL786461:TVL786559 UFH786461:UFH786559 UPD786461:UPD786559 UYZ786461:UYZ786559 VIV786461:VIV786559 VSR786461:VSR786559 WCN786461:WCN786559 WMJ786461:WMJ786559 WWF786461:WWF786559 JT851997:JT852095 TP851997:TP852095 ADL851997:ADL852095 ANH851997:ANH852095 AXD851997:AXD852095 BGZ851997:BGZ852095 BQV851997:BQV852095 CAR851997:CAR852095 CKN851997:CKN852095 CUJ851997:CUJ852095 DEF851997:DEF852095 DOB851997:DOB852095 DXX851997:DXX852095 EHT851997:EHT852095 ERP851997:ERP852095 FBL851997:FBL852095 FLH851997:FLH852095 FVD851997:FVD852095 GEZ851997:GEZ852095 GOV851997:GOV852095 GYR851997:GYR852095 HIN851997:HIN852095 HSJ851997:HSJ852095 ICF851997:ICF852095 IMB851997:IMB852095 IVX851997:IVX852095 JFT851997:JFT852095 JPP851997:JPP852095 JZL851997:JZL852095 KJH851997:KJH852095 KTD851997:KTD852095 LCZ851997:LCZ852095 LMV851997:LMV852095 LWR851997:LWR852095 MGN851997:MGN852095 MQJ851997:MQJ852095 NAF851997:NAF852095 NKB851997:NKB852095 NTX851997:NTX852095 ODT851997:ODT852095 ONP851997:ONP852095 OXL851997:OXL852095 PHH851997:PHH852095 PRD851997:PRD852095 QAZ851997:QAZ852095 QKV851997:QKV852095 QUR851997:QUR852095 REN851997:REN852095 ROJ851997:ROJ852095 RYF851997:RYF852095 SIB851997:SIB852095 SRX851997:SRX852095 TBT851997:TBT852095 TLP851997:TLP852095 TVL851997:TVL852095 UFH851997:UFH852095 UPD851997:UPD852095 UYZ851997:UYZ852095 VIV851997:VIV852095 VSR851997:VSR852095 WCN851997:WCN852095 WMJ851997:WMJ852095 WWF851997:WWF852095 JT917533:JT917631 TP917533:TP917631 ADL917533:ADL917631 ANH917533:ANH917631 AXD917533:AXD917631 BGZ917533:BGZ917631 BQV917533:BQV917631 CAR917533:CAR917631 CKN917533:CKN917631 CUJ917533:CUJ917631 DEF917533:DEF917631 DOB917533:DOB917631 DXX917533:DXX917631 EHT917533:EHT917631 ERP917533:ERP917631 FBL917533:FBL917631 FLH917533:FLH917631 FVD917533:FVD917631 GEZ917533:GEZ917631 GOV917533:GOV917631 GYR917533:GYR917631 HIN917533:HIN917631 HSJ917533:HSJ917631 ICF917533:ICF917631 IMB917533:IMB917631 IVX917533:IVX917631 JFT917533:JFT917631 JPP917533:JPP917631 JZL917533:JZL917631 KJH917533:KJH917631 KTD917533:KTD917631 LCZ917533:LCZ917631 LMV917533:LMV917631 LWR917533:LWR917631 MGN917533:MGN917631 MQJ917533:MQJ917631 NAF917533:NAF917631 NKB917533:NKB917631 NTX917533:NTX917631 ODT917533:ODT917631 ONP917533:ONP917631 OXL917533:OXL917631 PHH917533:PHH917631 PRD917533:PRD917631 QAZ917533:QAZ917631 QKV917533:QKV917631 QUR917533:QUR917631 REN917533:REN917631 ROJ917533:ROJ917631 RYF917533:RYF917631 SIB917533:SIB917631 SRX917533:SRX917631 TBT917533:TBT917631 TLP917533:TLP917631 TVL917533:TVL917631 UFH917533:UFH917631 UPD917533:UPD917631 UYZ917533:UYZ917631 VIV917533:VIV917631 VSR917533:VSR917631 WCN917533:WCN917631 WMJ917533:WMJ917631 WWF917533:WWF917631 JT983069:JT983167 TP983069:TP983167 ADL983069:ADL983167 ANH983069:ANH983167 AXD983069:AXD983167 BGZ983069:BGZ983167 BQV983069:BQV983167 CAR983069:CAR983167 CKN983069:CKN983167 CUJ983069:CUJ983167 DEF983069:DEF983167 DOB983069:DOB983167 DXX983069:DXX983167 EHT983069:EHT983167 ERP983069:ERP983167 FBL983069:FBL983167 FLH983069:FLH983167 FVD983069:FVD983167 GEZ983069:GEZ983167 GOV983069:GOV983167 GYR983069:GYR983167 HIN983069:HIN983167 HSJ983069:HSJ983167 ICF983069:ICF983167 IMB983069:IMB983167 IVX983069:IVX983167 JFT983069:JFT983167 JPP983069:JPP983167 JZL983069:JZL983167 KJH983069:KJH983167 KTD983069:KTD983167 LCZ983069:LCZ983167 LMV983069:LMV983167 LWR983069:LWR983167 MGN983069:MGN983167 MQJ983069:MQJ983167 NAF983069:NAF983167 NKB983069:NKB983167 NTX983069:NTX983167 ODT983069:ODT983167 ONP983069:ONP983167 OXL983069:OXL983167 PHH983069:PHH983167 PRD983069:PRD983167 QAZ983069:QAZ983167 QKV983069:QKV983167 QUR983069:QUR983167 REN983069:REN983167 ROJ983069:ROJ983167 RYF983069:RYF983167 SIB983069:SIB983167 SRX983069:SRX983167 TBT983069:TBT983167 TLP983069:TLP983167 TVL983069:TVL983167 UFH983069:UFH983167 UPD983069:UPD983167 UYZ983069:UYZ983167 VIV983069:VIV983167 VSR983069:VSR983167 WCN983069:WCN983167 WMJ983069:WMJ983167 F28:G32 AF28:AJ126 AF196636:AM196734 AF262172:AM262270 AF327708:AM327806 AF393244:AM393342 AF458780:AM458878 AF524316:AM524414 AF589852:AM589950 AF655388:AM655486 AF720924:AM721022 AF786460:AM786558 AF851996:AM852094 AF917532:AM917630 AF983068:AM983166 AF131100:AM131198 AF65564:AM65662">
      <formula1>$I$136:$I$137</formula1>
    </dataValidation>
    <dataValidation type="list" errorStyle="information" allowBlank="1" showInputMessage="1" showErrorMessage="1" errorTitle="Incentives to Redeem" error="Please input either: _x000a__x000a_Y = Yes_x000a_N = No" sqref="JX28:JX126 O28:O126 TT28:TT126 ADP28:ADP126 ANL28:ANL126 AXH28:AXH126 BHD28:BHD126 BQZ28:BQZ126 CAV28:CAV126 CKR28:CKR126 CUN28:CUN126 DEJ28:DEJ126 DOF28:DOF126 DYB28:DYB126 EHX28:EHX126 ERT28:ERT126 FBP28:FBP126 FLL28:FLL126 FVH28:FVH126 GFD28:GFD126 GOZ28:GOZ126 GYV28:GYV126 HIR28:HIR126 HSN28:HSN126 ICJ28:ICJ126 IMF28:IMF126 IWB28:IWB126 JFX28:JFX126 JPT28:JPT126 JZP28:JZP126 KJL28:KJL126 KTH28:KTH126 LDD28:LDD126 LMZ28:LMZ126 LWV28:LWV126 MGR28:MGR126 MQN28:MQN126 NAJ28:NAJ126 NKF28:NKF126 NUB28:NUB126 ODX28:ODX126 ONT28:ONT126 OXP28:OXP126 PHL28:PHL126 PRH28:PRH126 QBD28:QBD126 QKZ28:QKZ126 QUV28:QUV126 RER28:RER126 RON28:RON126 RYJ28:RYJ126 SIF28:SIF126 SSB28:SSB126 TBX28:TBX126 TLT28:TLT126 TVP28:TVP126 UFL28:UFL126 UPH28:UPH126 UZD28:UZD126 VIZ28:VIZ126 VSV28:VSV126 WCR28:WCR126 WMN28:WMN126 WWJ28:WWJ126 O65565:O65663 JX65565:JX65663 TT65565:TT65663 ADP65565:ADP65663 ANL65565:ANL65663 AXH65565:AXH65663 BHD65565:BHD65663 BQZ65565:BQZ65663 CAV65565:CAV65663 CKR65565:CKR65663 CUN65565:CUN65663 DEJ65565:DEJ65663 DOF65565:DOF65663 DYB65565:DYB65663 EHX65565:EHX65663 ERT65565:ERT65663 FBP65565:FBP65663 FLL65565:FLL65663 FVH65565:FVH65663 GFD65565:GFD65663 GOZ65565:GOZ65663 GYV65565:GYV65663 HIR65565:HIR65663 HSN65565:HSN65663 ICJ65565:ICJ65663 IMF65565:IMF65663 IWB65565:IWB65663 JFX65565:JFX65663 JPT65565:JPT65663 JZP65565:JZP65663 KJL65565:KJL65663 KTH65565:KTH65663 LDD65565:LDD65663 LMZ65565:LMZ65663 LWV65565:LWV65663 MGR65565:MGR65663 MQN65565:MQN65663 NAJ65565:NAJ65663 NKF65565:NKF65663 NUB65565:NUB65663 ODX65565:ODX65663 ONT65565:ONT65663 OXP65565:OXP65663 PHL65565:PHL65663 PRH65565:PRH65663 QBD65565:QBD65663 QKZ65565:QKZ65663 QUV65565:QUV65663 RER65565:RER65663 RON65565:RON65663 RYJ65565:RYJ65663 SIF65565:SIF65663 SSB65565:SSB65663 TBX65565:TBX65663 TLT65565:TLT65663 TVP65565:TVP65663 UFL65565:UFL65663 UPH65565:UPH65663 UZD65565:UZD65663 VIZ65565:VIZ65663 VSV65565:VSV65663 WCR65565:WCR65663 WMN65565:WMN65663 WWJ65565:WWJ65663 O131101:O131199 JX131101:JX131199 TT131101:TT131199 ADP131101:ADP131199 ANL131101:ANL131199 AXH131101:AXH131199 BHD131101:BHD131199 BQZ131101:BQZ131199 CAV131101:CAV131199 CKR131101:CKR131199 CUN131101:CUN131199 DEJ131101:DEJ131199 DOF131101:DOF131199 DYB131101:DYB131199 EHX131101:EHX131199 ERT131101:ERT131199 FBP131101:FBP131199 FLL131101:FLL131199 FVH131101:FVH131199 GFD131101:GFD131199 GOZ131101:GOZ131199 GYV131101:GYV131199 HIR131101:HIR131199 HSN131101:HSN131199 ICJ131101:ICJ131199 IMF131101:IMF131199 IWB131101:IWB131199 JFX131101:JFX131199 JPT131101:JPT131199 JZP131101:JZP131199 KJL131101:KJL131199 KTH131101:KTH131199 LDD131101:LDD131199 LMZ131101:LMZ131199 LWV131101:LWV131199 MGR131101:MGR131199 MQN131101:MQN131199 NAJ131101:NAJ131199 NKF131101:NKF131199 NUB131101:NUB131199 ODX131101:ODX131199 ONT131101:ONT131199 OXP131101:OXP131199 PHL131101:PHL131199 PRH131101:PRH131199 QBD131101:QBD131199 QKZ131101:QKZ131199 QUV131101:QUV131199 RER131101:RER131199 RON131101:RON131199 RYJ131101:RYJ131199 SIF131101:SIF131199 SSB131101:SSB131199 TBX131101:TBX131199 TLT131101:TLT131199 TVP131101:TVP131199 UFL131101:UFL131199 UPH131101:UPH131199 UZD131101:UZD131199 VIZ131101:VIZ131199 VSV131101:VSV131199 WCR131101:WCR131199 WMN131101:WMN131199 WWJ131101:WWJ131199 O196637:O196735 JX196637:JX196735 TT196637:TT196735 ADP196637:ADP196735 ANL196637:ANL196735 AXH196637:AXH196735 BHD196637:BHD196735 BQZ196637:BQZ196735 CAV196637:CAV196735 CKR196637:CKR196735 CUN196637:CUN196735 DEJ196637:DEJ196735 DOF196637:DOF196735 DYB196637:DYB196735 EHX196637:EHX196735 ERT196637:ERT196735 FBP196637:FBP196735 FLL196637:FLL196735 FVH196637:FVH196735 GFD196637:GFD196735 GOZ196637:GOZ196735 GYV196637:GYV196735 HIR196637:HIR196735 HSN196637:HSN196735 ICJ196637:ICJ196735 IMF196637:IMF196735 IWB196637:IWB196735 JFX196637:JFX196735 JPT196637:JPT196735 JZP196637:JZP196735 KJL196637:KJL196735 KTH196637:KTH196735 LDD196637:LDD196735 LMZ196637:LMZ196735 LWV196637:LWV196735 MGR196637:MGR196735 MQN196637:MQN196735 NAJ196637:NAJ196735 NKF196637:NKF196735 NUB196637:NUB196735 ODX196637:ODX196735 ONT196637:ONT196735 OXP196637:OXP196735 PHL196637:PHL196735 PRH196637:PRH196735 QBD196637:QBD196735 QKZ196637:QKZ196735 QUV196637:QUV196735 RER196637:RER196735 RON196637:RON196735 RYJ196637:RYJ196735 SIF196637:SIF196735 SSB196637:SSB196735 TBX196637:TBX196735 TLT196637:TLT196735 TVP196637:TVP196735 UFL196637:UFL196735 UPH196637:UPH196735 UZD196637:UZD196735 VIZ196637:VIZ196735 VSV196637:VSV196735 WCR196637:WCR196735 WMN196637:WMN196735 WWJ196637:WWJ196735 O262173:O262271 JX262173:JX262271 TT262173:TT262271 ADP262173:ADP262271 ANL262173:ANL262271 AXH262173:AXH262271 BHD262173:BHD262271 BQZ262173:BQZ262271 CAV262173:CAV262271 CKR262173:CKR262271 CUN262173:CUN262271 DEJ262173:DEJ262271 DOF262173:DOF262271 DYB262173:DYB262271 EHX262173:EHX262271 ERT262173:ERT262271 FBP262173:FBP262271 FLL262173:FLL262271 FVH262173:FVH262271 GFD262173:GFD262271 GOZ262173:GOZ262271 GYV262173:GYV262271 HIR262173:HIR262271 HSN262173:HSN262271 ICJ262173:ICJ262271 IMF262173:IMF262271 IWB262173:IWB262271 JFX262173:JFX262271 JPT262173:JPT262271 JZP262173:JZP262271 KJL262173:KJL262271 KTH262173:KTH262271 LDD262173:LDD262271 LMZ262173:LMZ262271 LWV262173:LWV262271 MGR262173:MGR262271 MQN262173:MQN262271 NAJ262173:NAJ262271 NKF262173:NKF262271 NUB262173:NUB262271 ODX262173:ODX262271 ONT262173:ONT262271 OXP262173:OXP262271 PHL262173:PHL262271 PRH262173:PRH262271 QBD262173:QBD262271 QKZ262173:QKZ262271 QUV262173:QUV262271 RER262173:RER262271 RON262173:RON262271 RYJ262173:RYJ262271 SIF262173:SIF262271 SSB262173:SSB262271 TBX262173:TBX262271 TLT262173:TLT262271 TVP262173:TVP262271 UFL262173:UFL262271 UPH262173:UPH262271 UZD262173:UZD262271 VIZ262173:VIZ262271 VSV262173:VSV262271 WCR262173:WCR262271 WMN262173:WMN262271 WWJ262173:WWJ262271 O327709:O327807 JX327709:JX327807 TT327709:TT327807 ADP327709:ADP327807 ANL327709:ANL327807 AXH327709:AXH327807 BHD327709:BHD327807 BQZ327709:BQZ327807 CAV327709:CAV327807 CKR327709:CKR327807 CUN327709:CUN327807 DEJ327709:DEJ327807 DOF327709:DOF327807 DYB327709:DYB327807 EHX327709:EHX327807 ERT327709:ERT327807 FBP327709:FBP327807 FLL327709:FLL327807 FVH327709:FVH327807 GFD327709:GFD327807 GOZ327709:GOZ327807 GYV327709:GYV327807 HIR327709:HIR327807 HSN327709:HSN327807 ICJ327709:ICJ327807 IMF327709:IMF327807 IWB327709:IWB327807 JFX327709:JFX327807 JPT327709:JPT327807 JZP327709:JZP327807 KJL327709:KJL327807 KTH327709:KTH327807 LDD327709:LDD327807 LMZ327709:LMZ327807 LWV327709:LWV327807 MGR327709:MGR327807 MQN327709:MQN327807 NAJ327709:NAJ327807 NKF327709:NKF327807 NUB327709:NUB327807 ODX327709:ODX327807 ONT327709:ONT327807 OXP327709:OXP327807 PHL327709:PHL327807 PRH327709:PRH327807 QBD327709:QBD327807 QKZ327709:QKZ327807 QUV327709:QUV327807 RER327709:RER327807 RON327709:RON327807 RYJ327709:RYJ327807 SIF327709:SIF327807 SSB327709:SSB327807 TBX327709:TBX327807 TLT327709:TLT327807 TVP327709:TVP327807 UFL327709:UFL327807 UPH327709:UPH327807 UZD327709:UZD327807 VIZ327709:VIZ327807 VSV327709:VSV327807 WCR327709:WCR327807 WMN327709:WMN327807 WWJ327709:WWJ327807 O393245:O393343 JX393245:JX393343 TT393245:TT393343 ADP393245:ADP393343 ANL393245:ANL393343 AXH393245:AXH393343 BHD393245:BHD393343 BQZ393245:BQZ393343 CAV393245:CAV393343 CKR393245:CKR393343 CUN393245:CUN393343 DEJ393245:DEJ393343 DOF393245:DOF393343 DYB393245:DYB393343 EHX393245:EHX393343 ERT393245:ERT393343 FBP393245:FBP393343 FLL393245:FLL393343 FVH393245:FVH393343 GFD393245:GFD393343 GOZ393245:GOZ393343 GYV393245:GYV393343 HIR393245:HIR393343 HSN393245:HSN393343 ICJ393245:ICJ393343 IMF393245:IMF393343 IWB393245:IWB393343 JFX393245:JFX393343 JPT393245:JPT393343 JZP393245:JZP393343 KJL393245:KJL393343 KTH393245:KTH393343 LDD393245:LDD393343 LMZ393245:LMZ393343 LWV393245:LWV393343 MGR393245:MGR393343 MQN393245:MQN393343 NAJ393245:NAJ393343 NKF393245:NKF393343 NUB393245:NUB393343 ODX393245:ODX393343 ONT393245:ONT393343 OXP393245:OXP393343 PHL393245:PHL393343 PRH393245:PRH393343 QBD393245:QBD393343 QKZ393245:QKZ393343 QUV393245:QUV393343 RER393245:RER393343 RON393245:RON393343 RYJ393245:RYJ393343 SIF393245:SIF393343 SSB393245:SSB393343 TBX393245:TBX393343 TLT393245:TLT393343 TVP393245:TVP393343 UFL393245:UFL393343 UPH393245:UPH393343 UZD393245:UZD393343 VIZ393245:VIZ393343 VSV393245:VSV393343 WCR393245:WCR393343 WMN393245:WMN393343 WWJ393245:WWJ393343 O458781:O458879 JX458781:JX458879 TT458781:TT458879 ADP458781:ADP458879 ANL458781:ANL458879 AXH458781:AXH458879 BHD458781:BHD458879 BQZ458781:BQZ458879 CAV458781:CAV458879 CKR458781:CKR458879 CUN458781:CUN458879 DEJ458781:DEJ458879 DOF458781:DOF458879 DYB458781:DYB458879 EHX458781:EHX458879 ERT458781:ERT458879 FBP458781:FBP458879 FLL458781:FLL458879 FVH458781:FVH458879 GFD458781:GFD458879 GOZ458781:GOZ458879 GYV458781:GYV458879 HIR458781:HIR458879 HSN458781:HSN458879 ICJ458781:ICJ458879 IMF458781:IMF458879 IWB458781:IWB458879 JFX458781:JFX458879 JPT458781:JPT458879 JZP458781:JZP458879 KJL458781:KJL458879 KTH458781:KTH458879 LDD458781:LDD458879 LMZ458781:LMZ458879 LWV458781:LWV458879 MGR458781:MGR458879 MQN458781:MQN458879 NAJ458781:NAJ458879 NKF458781:NKF458879 NUB458781:NUB458879 ODX458781:ODX458879 ONT458781:ONT458879 OXP458781:OXP458879 PHL458781:PHL458879 PRH458781:PRH458879 QBD458781:QBD458879 QKZ458781:QKZ458879 QUV458781:QUV458879 RER458781:RER458879 RON458781:RON458879 RYJ458781:RYJ458879 SIF458781:SIF458879 SSB458781:SSB458879 TBX458781:TBX458879 TLT458781:TLT458879 TVP458781:TVP458879 UFL458781:UFL458879 UPH458781:UPH458879 UZD458781:UZD458879 VIZ458781:VIZ458879 VSV458781:VSV458879 WCR458781:WCR458879 WMN458781:WMN458879 WWJ458781:WWJ458879 O524317:O524415 JX524317:JX524415 TT524317:TT524415 ADP524317:ADP524415 ANL524317:ANL524415 AXH524317:AXH524415 BHD524317:BHD524415 BQZ524317:BQZ524415 CAV524317:CAV524415 CKR524317:CKR524415 CUN524317:CUN524415 DEJ524317:DEJ524415 DOF524317:DOF524415 DYB524317:DYB524415 EHX524317:EHX524415 ERT524317:ERT524415 FBP524317:FBP524415 FLL524317:FLL524415 FVH524317:FVH524415 GFD524317:GFD524415 GOZ524317:GOZ524415 GYV524317:GYV524415 HIR524317:HIR524415 HSN524317:HSN524415 ICJ524317:ICJ524415 IMF524317:IMF524415 IWB524317:IWB524415 JFX524317:JFX524415 JPT524317:JPT524415 JZP524317:JZP524415 KJL524317:KJL524415 KTH524317:KTH524415 LDD524317:LDD524415 LMZ524317:LMZ524415 LWV524317:LWV524415 MGR524317:MGR524415 MQN524317:MQN524415 NAJ524317:NAJ524415 NKF524317:NKF524415 NUB524317:NUB524415 ODX524317:ODX524415 ONT524317:ONT524415 OXP524317:OXP524415 PHL524317:PHL524415 PRH524317:PRH524415 QBD524317:QBD524415 QKZ524317:QKZ524415 QUV524317:QUV524415 RER524317:RER524415 RON524317:RON524415 RYJ524317:RYJ524415 SIF524317:SIF524415 SSB524317:SSB524415 TBX524317:TBX524415 TLT524317:TLT524415 TVP524317:TVP524415 UFL524317:UFL524415 UPH524317:UPH524415 UZD524317:UZD524415 VIZ524317:VIZ524415 VSV524317:VSV524415 WCR524317:WCR524415 WMN524317:WMN524415 WWJ524317:WWJ524415 O589853:O589951 JX589853:JX589951 TT589853:TT589951 ADP589853:ADP589951 ANL589853:ANL589951 AXH589853:AXH589951 BHD589853:BHD589951 BQZ589853:BQZ589951 CAV589853:CAV589951 CKR589853:CKR589951 CUN589853:CUN589951 DEJ589853:DEJ589951 DOF589853:DOF589951 DYB589853:DYB589951 EHX589853:EHX589951 ERT589853:ERT589951 FBP589853:FBP589951 FLL589853:FLL589951 FVH589853:FVH589951 GFD589853:GFD589951 GOZ589853:GOZ589951 GYV589853:GYV589951 HIR589853:HIR589951 HSN589853:HSN589951 ICJ589853:ICJ589951 IMF589853:IMF589951 IWB589853:IWB589951 JFX589853:JFX589951 JPT589853:JPT589951 JZP589853:JZP589951 KJL589853:KJL589951 KTH589853:KTH589951 LDD589853:LDD589951 LMZ589853:LMZ589951 LWV589853:LWV589951 MGR589853:MGR589951 MQN589853:MQN589951 NAJ589853:NAJ589951 NKF589853:NKF589951 NUB589853:NUB589951 ODX589853:ODX589951 ONT589853:ONT589951 OXP589853:OXP589951 PHL589853:PHL589951 PRH589853:PRH589951 QBD589853:QBD589951 QKZ589853:QKZ589951 QUV589853:QUV589951 RER589853:RER589951 RON589853:RON589951 RYJ589853:RYJ589951 SIF589853:SIF589951 SSB589853:SSB589951 TBX589853:TBX589951 TLT589853:TLT589951 TVP589853:TVP589951 UFL589853:UFL589951 UPH589853:UPH589951 UZD589853:UZD589951 VIZ589853:VIZ589951 VSV589853:VSV589951 WCR589853:WCR589951 WMN589853:WMN589951 WWJ589853:WWJ589951 O655389:O655487 JX655389:JX655487 TT655389:TT655487 ADP655389:ADP655487 ANL655389:ANL655487 AXH655389:AXH655487 BHD655389:BHD655487 BQZ655389:BQZ655487 CAV655389:CAV655487 CKR655389:CKR655487 CUN655389:CUN655487 DEJ655389:DEJ655487 DOF655389:DOF655487 DYB655389:DYB655487 EHX655389:EHX655487 ERT655389:ERT655487 FBP655389:FBP655487 FLL655389:FLL655487 FVH655389:FVH655487 GFD655389:GFD655487 GOZ655389:GOZ655487 GYV655389:GYV655487 HIR655389:HIR655487 HSN655389:HSN655487 ICJ655389:ICJ655487 IMF655389:IMF655487 IWB655389:IWB655487 JFX655389:JFX655487 JPT655389:JPT655487 JZP655389:JZP655487 KJL655389:KJL655487 KTH655389:KTH655487 LDD655389:LDD655487 LMZ655389:LMZ655487 LWV655389:LWV655487 MGR655389:MGR655487 MQN655389:MQN655487 NAJ655389:NAJ655487 NKF655389:NKF655487 NUB655389:NUB655487 ODX655389:ODX655487 ONT655389:ONT655487 OXP655389:OXP655487 PHL655389:PHL655487 PRH655389:PRH655487 QBD655389:QBD655487 QKZ655389:QKZ655487 QUV655389:QUV655487 RER655389:RER655487 RON655389:RON655487 RYJ655389:RYJ655487 SIF655389:SIF655487 SSB655389:SSB655487 TBX655389:TBX655487 TLT655389:TLT655487 TVP655389:TVP655487 UFL655389:UFL655487 UPH655389:UPH655487 UZD655389:UZD655487 VIZ655389:VIZ655487 VSV655389:VSV655487 WCR655389:WCR655487 WMN655389:WMN655487 WWJ655389:WWJ655487 O720925:O721023 JX720925:JX721023 TT720925:TT721023 ADP720925:ADP721023 ANL720925:ANL721023 AXH720925:AXH721023 BHD720925:BHD721023 BQZ720925:BQZ721023 CAV720925:CAV721023 CKR720925:CKR721023 CUN720925:CUN721023 DEJ720925:DEJ721023 DOF720925:DOF721023 DYB720925:DYB721023 EHX720925:EHX721023 ERT720925:ERT721023 FBP720925:FBP721023 FLL720925:FLL721023 FVH720925:FVH721023 GFD720925:GFD721023 GOZ720925:GOZ721023 GYV720925:GYV721023 HIR720925:HIR721023 HSN720925:HSN721023 ICJ720925:ICJ721023 IMF720925:IMF721023 IWB720925:IWB721023 JFX720925:JFX721023 JPT720925:JPT721023 JZP720925:JZP721023 KJL720925:KJL721023 KTH720925:KTH721023 LDD720925:LDD721023 LMZ720925:LMZ721023 LWV720925:LWV721023 MGR720925:MGR721023 MQN720925:MQN721023 NAJ720925:NAJ721023 NKF720925:NKF721023 NUB720925:NUB721023 ODX720925:ODX721023 ONT720925:ONT721023 OXP720925:OXP721023 PHL720925:PHL721023 PRH720925:PRH721023 QBD720925:QBD721023 QKZ720925:QKZ721023 QUV720925:QUV721023 RER720925:RER721023 RON720925:RON721023 RYJ720925:RYJ721023 SIF720925:SIF721023 SSB720925:SSB721023 TBX720925:TBX721023 TLT720925:TLT721023 TVP720925:TVP721023 UFL720925:UFL721023 UPH720925:UPH721023 UZD720925:UZD721023 VIZ720925:VIZ721023 VSV720925:VSV721023 WCR720925:WCR721023 WMN720925:WMN721023 WWJ720925:WWJ721023 O786461:O786559 JX786461:JX786559 TT786461:TT786559 ADP786461:ADP786559 ANL786461:ANL786559 AXH786461:AXH786559 BHD786461:BHD786559 BQZ786461:BQZ786559 CAV786461:CAV786559 CKR786461:CKR786559 CUN786461:CUN786559 DEJ786461:DEJ786559 DOF786461:DOF786559 DYB786461:DYB786559 EHX786461:EHX786559 ERT786461:ERT786559 FBP786461:FBP786559 FLL786461:FLL786559 FVH786461:FVH786559 GFD786461:GFD786559 GOZ786461:GOZ786559 GYV786461:GYV786559 HIR786461:HIR786559 HSN786461:HSN786559 ICJ786461:ICJ786559 IMF786461:IMF786559 IWB786461:IWB786559 JFX786461:JFX786559 JPT786461:JPT786559 JZP786461:JZP786559 KJL786461:KJL786559 KTH786461:KTH786559 LDD786461:LDD786559 LMZ786461:LMZ786559 LWV786461:LWV786559 MGR786461:MGR786559 MQN786461:MQN786559 NAJ786461:NAJ786559 NKF786461:NKF786559 NUB786461:NUB786559 ODX786461:ODX786559 ONT786461:ONT786559 OXP786461:OXP786559 PHL786461:PHL786559 PRH786461:PRH786559 QBD786461:QBD786559 QKZ786461:QKZ786559 QUV786461:QUV786559 RER786461:RER786559 RON786461:RON786559 RYJ786461:RYJ786559 SIF786461:SIF786559 SSB786461:SSB786559 TBX786461:TBX786559 TLT786461:TLT786559 TVP786461:TVP786559 UFL786461:UFL786559 UPH786461:UPH786559 UZD786461:UZD786559 VIZ786461:VIZ786559 VSV786461:VSV786559 WCR786461:WCR786559 WMN786461:WMN786559 WWJ786461:WWJ786559 O851997:O852095 JX851997:JX852095 TT851997:TT852095 ADP851997:ADP852095 ANL851997:ANL852095 AXH851997:AXH852095 BHD851997:BHD852095 BQZ851997:BQZ852095 CAV851997:CAV852095 CKR851997:CKR852095 CUN851997:CUN852095 DEJ851997:DEJ852095 DOF851997:DOF852095 DYB851997:DYB852095 EHX851997:EHX852095 ERT851997:ERT852095 FBP851997:FBP852095 FLL851997:FLL852095 FVH851997:FVH852095 GFD851997:GFD852095 GOZ851997:GOZ852095 GYV851997:GYV852095 HIR851997:HIR852095 HSN851997:HSN852095 ICJ851997:ICJ852095 IMF851997:IMF852095 IWB851997:IWB852095 JFX851997:JFX852095 JPT851997:JPT852095 JZP851997:JZP852095 KJL851997:KJL852095 KTH851997:KTH852095 LDD851997:LDD852095 LMZ851997:LMZ852095 LWV851997:LWV852095 MGR851997:MGR852095 MQN851997:MQN852095 NAJ851997:NAJ852095 NKF851997:NKF852095 NUB851997:NUB852095 ODX851997:ODX852095 ONT851997:ONT852095 OXP851997:OXP852095 PHL851997:PHL852095 PRH851997:PRH852095 QBD851997:QBD852095 QKZ851997:QKZ852095 QUV851997:QUV852095 RER851997:RER852095 RON851997:RON852095 RYJ851997:RYJ852095 SIF851997:SIF852095 SSB851997:SSB852095 TBX851997:TBX852095 TLT851997:TLT852095 TVP851997:TVP852095 UFL851997:UFL852095 UPH851997:UPH852095 UZD851997:UZD852095 VIZ851997:VIZ852095 VSV851997:VSV852095 WCR851997:WCR852095 WMN851997:WMN852095 WWJ851997:WWJ852095 O917533:O917631 JX917533:JX917631 TT917533:TT917631 ADP917533:ADP917631 ANL917533:ANL917631 AXH917533:AXH917631 BHD917533:BHD917631 BQZ917533:BQZ917631 CAV917533:CAV917631 CKR917533:CKR917631 CUN917533:CUN917631 DEJ917533:DEJ917631 DOF917533:DOF917631 DYB917533:DYB917631 EHX917533:EHX917631 ERT917533:ERT917631 FBP917533:FBP917631 FLL917533:FLL917631 FVH917533:FVH917631 GFD917533:GFD917631 GOZ917533:GOZ917631 GYV917533:GYV917631 HIR917533:HIR917631 HSN917533:HSN917631 ICJ917533:ICJ917631 IMF917533:IMF917631 IWB917533:IWB917631 JFX917533:JFX917631 JPT917533:JPT917631 JZP917533:JZP917631 KJL917533:KJL917631 KTH917533:KTH917631 LDD917533:LDD917631 LMZ917533:LMZ917631 LWV917533:LWV917631 MGR917533:MGR917631 MQN917533:MQN917631 NAJ917533:NAJ917631 NKF917533:NKF917631 NUB917533:NUB917631 ODX917533:ODX917631 ONT917533:ONT917631 OXP917533:OXP917631 PHL917533:PHL917631 PRH917533:PRH917631 QBD917533:QBD917631 QKZ917533:QKZ917631 QUV917533:QUV917631 RER917533:RER917631 RON917533:RON917631 RYJ917533:RYJ917631 SIF917533:SIF917631 SSB917533:SSB917631 TBX917533:TBX917631 TLT917533:TLT917631 TVP917533:TVP917631 UFL917533:UFL917631 UPH917533:UPH917631 UZD917533:UZD917631 VIZ917533:VIZ917631 VSV917533:VSV917631 WCR917533:WCR917631 WMN917533:WMN917631 WWJ917533:WWJ917631 O983069:O983167 JX983069:JX983167 TT983069:TT983167 ADP983069:ADP983167 ANL983069:ANL983167 AXH983069:AXH983167 BHD983069:BHD983167 BQZ983069:BQZ983167 CAV983069:CAV983167 CKR983069:CKR983167 CUN983069:CUN983167 DEJ983069:DEJ983167 DOF983069:DOF983167 DYB983069:DYB983167 EHX983069:EHX983167 ERT983069:ERT983167 FBP983069:FBP983167 FLL983069:FLL983167 FVH983069:FVH983167 GFD983069:GFD983167 GOZ983069:GOZ983167 GYV983069:GYV983167 HIR983069:HIR983167 HSN983069:HSN983167 ICJ983069:ICJ983167 IMF983069:IMF983167 IWB983069:IWB983167 JFX983069:JFX983167 JPT983069:JPT983167 JZP983069:JZP983167 KJL983069:KJL983167 KTH983069:KTH983167 LDD983069:LDD983167 LMZ983069:LMZ983167 LWV983069:LWV983167 MGR983069:MGR983167 MQN983069:MQN983167 NAJ983069:NAJ983167 NKF983069:NKF983167 NUB983069:NUB983167 ODX983069:ODX983167 ONT983069:ONT983167 OXP983069:OXP983167 PHL983069:PHL983167 PRH983069:PRH983167 QBD983069:QBD983167 QKZ983069:QKZ983167 QUV983069:QUV983167 RER983069:RER983167 RON983069:RON983167 RYJ983069:RYJ983167 SIF983069:SIF983167 SSB983069:SSB983167 TBX983069:TBX983167 TLT983069:TLT983167 TVP983069:TVP983167 UFL983069:UFL983167 UPH983069:UPH983167 UZD983069:UZD983167 VIZ983069:VIZ983167 VSV983069:VSV983167 WCR983069:WCR983167 WMN983069:WMN983167 WWJ983069:WWJ983167">
      <formula1>$I$136:$I$137</formula1>
    </dataValidation>
    <dataValidation type="list" errorStyle="information" allowBlank="1" showInputMessage="1" showErrorMessage="1" errorTitle="Incentives to Redeem - Type" error="Please input: _x000a__x000a_Step-Up_x000a_Other" sqref="JY28:JY126 WWK983069:WWK983167 WMO983069:WMO983167 WCS983069:WCS983167 VSW983069:VSW983167 VJA983069:VJA983167 UZE983069:UZE983167 UPI983069:UPI983167 UFM983069:UFM983167 TVQ983069:TVQ983167 TLU983069:TLU983167 TBY983069:TBY983167 SSC983069:SSC983167 SIG983069:SIG983167 RYK983069:RYK983167 ROO983069:ROO983167 RES983069:RES983167 QUW983069:QUW983167 QLA983069:QLA983167 QBE983069:QBE983167 PRI983069:PRI983167 PHM983069:PHM983167 OXQ983069:OXQ983167 ONU983069:ONU983167 ODY983069:ODY983167 NUC983069:NUC983167 NKG983069:NKG983167 NAK983069:NAK983167 MQO983069:MQO983167 MGS983069:MGS983167 LWW983069:LWW983167 LNA983069:LNA983167 LDE983069:LDE983167 KTI983069:KTI983167 KJM983069:KJM983167 JZQ983069:JZQ983167 JPU983069:JPU983167 JFY983069:JFY983167 IWC983069:IWC983167 IMG983069:IMG983167 ICK983069:ICK983167 HSO983069:HSO983167 HIS983069:HIS983167 GYW983069:GYW983167 GPA983069:GPA983167 GFE983069:GFE983167 FVI983069:FVI983167 FLM983069:FLM983167 FBQ983069:FBQ983167 ERU983069:ERU983167 EHY983069:EHY983167 DYC983069:DYC983167 DOG983069:DOG983167 DEK983069:DEK983167 CUO983069:CUO983167 CKS983069:CKS983167 CAW983069:CAW983167 BRA983069:BRA983167 BHE983069:BHE983167 AXI983069:AXI983167 ANM983069:ANM983167 ADQ983069:ADQ983167 TU983069:TU983167 JY983069:JY983167 P983068:P983166 WWK917533:WWK917631 WMO917533:WMO917631 WCS917533:WCS917631 VSW917533:VSW917631 VJA917533:VJA917631 UZE917533:UZE917631 UPI917533:UPI917631 UFM917533:UFM917631 TVQ917533:TVQ917631 TLU917533:TLU917631 TBY917533:TBY917631 SSC917533:SSC917631 SIG917533:SIG917631 RYK917533:RYK917631 ROO917533:ROO917631 RES917533:RES917631 QUW917533:QUW917631 QLA917533:QLA917631 QBE917533:QBE917631 PRI917533:PRI917631 PHM917533:PHM917631 OXQ917533:OXQ917631 ONU917533:ONU917631 ODY917533:ODY917631 NUC917533:NUC917631 NKG917533:NKG917631 NAK917533:NAK917631 MQO917533:MQO917631 MGS917533:MGS917631 LWW917533:LWW917631 LNA917533:LNA917631 LDE917533:LDE917631 KTI917533:KTI917631 KJM917533:KJM917631 JZQ917533:JZQ917631 JPU917533:JPU917631 JFY917533:JFY917631 IWC917533:IWC917631 IMG917533:IMG917631 ICK917533:ICK917631 HSO917533:HSO917631 HIS917533:HIS917631 GYW917533:GYW917631 GPA917533:GPA917631 GFE917533:GFE917631 FVI917533:FVI917631 FLM917533:FLM917631 FBQ917533:FBQ917631 ERU917533:ERU917631 EHY917533:EHY917631 DYC917533:DYC917631 DOG917533:DOG917631 DEK917533:DEK917631 CUO917533:CUO917631 CKS917533:CKS917631 CAW917533:CAW917631 BRA917533:BRA917631 BHE917533:BHE917631 AXI917533:AXI917631 ANM917533:ANM917631 ADQ917533:ADQ917631 TU917533:TU917631 JY917533:JY917631 P917532:P917630 WWK851997:WWK852095 WMO851997:WMO852095 WCS851997:WCS852095 VSW851997:VSW852095 VJA851997:VJA852095 UZE851997:UZE852095 UPI851997:UPI852095 UFM851997:UFM852095 TVQ851997:TVQ852095 TLU851997:TLU852095 TBY851997:TBY852095 SSC851997:SSC852095 SIG851997:SIG852095 RYK851997:RYK852095 ROO851997:ROO852095 RES851997:RES852095 QUW851997:QUW852095 QLA851997:QLA852095 QBE851997:QBE852095 PRI851997:PRI852095 PHM851997:PHM852095 OXQ851997:OXQ852095 ONU851997:ONU852095 ODY851997:ODY852095 NUC851997:NUC852095 NKG851997:NKG852095 NAK851997:NAK852095 MQO851997:MQO852095 MGS851997:MGS852095 LWW851997:LWW852095 LNA851997:LNA852095 LDE851997:LDE852095 KTI851997:KTI852095 KJM851997:KJM852095 JZQ851997:JZQ852095 JPU851997:JPU852095 JFY851997:JFY852095 IWC851997:IWC852095 IMG851997:IMG852095 ICK851997:ICK852095 HSO851997:HSO852095 HIS851997:HIS852095 GYW851997:GYW852095 GPA851997:GPA852095 GFE851997:GFE852095 FVI851997:FVI852095 FLM851997:FLM852095 FBQ851997:FBQ852095 ERU851997:ERU852095 EHY851997:EHY852095 DYC851997:DYC852095 DOG851997:DOG852095 DEK851997:DEK852095 CUO851997:CUO852095 CKS851997:CKS852095 CAW851997:CAW852095 BRA851997:BRA852095 BHE851997:BHE852095 AXI851997:AXI852095 ANM851997:ANM852095 ADQ851997:ADQ852095 TU851997:TU852095 JY851997:JY852095 P851996:P852094 WWK786461:WWK786559 WMO786461:WMO786559 WCS786461:WCS786559 VSW786461:VSW786559 VJA786461:VJA786559 UZE786461:UZE786559 UPI786461:UPI786559 UFM786461:UFM786559 TVQ786461:TVQ786559 TLU786461:TLU786559 TBY786461:TBY786559 SSC786461:SSC786559 SIG786461:SIG786559 RYK786461:RYK786559 ROO786461:ROO786559 RES786461:RES786559 QUW786461:QUW786559 QLA786461:QLA786559 QBE786461:QBE786559 PRI786461:PRI786559 PHM786461:PHM786559 OXQ786461:OXQ786559 ONU786461:ONU786559 ODY786461:ODY786559 NUC786461:NUC786559 NKG786461:NKG786559 NAK786461:NAK786559 MQO786461:MQO786559 MGS786461:MGS786559 LWW786461:LWW786559 LNA786461:LNA786559 LDE786461:LDE786559 KTI786461:KTI786559 KJM786461:KJM786559 JZQ786461:JZQ786559 JPU786461:JPU786559 JFY786461:JFY786559 IWC786461:IWC786559 IMG786461:IMG786559 ICK786461:ICK786559 HSO786461:HSO786559 HIS786461:HIS786559 GYW786461:GYW786559 GPA786461:GPA786559 GFE786461:GFE786559 FVI786461:FVI786559 FLM786461:FLM786559 FBQ786461:FBQ786559 ERU786461:ERU786559 EHY786461:EHY786559 DYC786461:DYC786559 DOG786461:DOG786559 DEK786461:DEK786559 CUO786461:CUO786559 CKS786461:CKS786559 CAW786461:CAW786559 BRA786461:BRA786559 BHE786461:BHE786559 AXI786461:AXI786559 ANM786461:ANM786559 ADQ786461:ADQ786559 TU786461:TU786559 JY786461:JY786559 P786460:P786558 WWK720925:WWK721023 WMO720925:WMO721023 WCS720925:WCS721023 VSW720925:VSW721023 VJA720925:VJA721023 UZE720925:UZE721023 UPI720925:UPI721023 UFM720925:UFM721023 TVQ720925:TVQ721023 TLU720925:TLU721023 TBY720925:TBY721023 SSC720925:SSC721023 SIG720925:SIG721023 RYK720925:RYK721023 ROO720925:ROO721023 RES720925:RES721023 QUW720925:QUW721023 QLA720925:QLA721023 QBE720925:QBE721023 PRI720925:PRI721023 PHM720925:PHM721023 OXQ720925:OXQ721023 ONU720925:ONU721023 ODY720925:ODY721023 NUC720925:NUC721023 NKG720925:NKG721023 NAK720925:NAK721023 MQO720925:MQO721023 MGS720925:MGS721023 LWW720925:LWW721023 LNA720925:LNA721023 LDE720925:LDE721023 KTI720925:KTI721023 KJM720925:KJM721023 JZQ720925:JZQ721023 JPU720925:JPU721023 JFY720925:JFY721023 IWC720925:IWC721023 IMG720925:IMG721023 ICK720925:ICK721023 HSO720925:HSO721023 HIS720925:HIS721023 GYW720925:GYW721023 GPA720925:GPA721023 GFE720925:GFE721023 FVI720925:FVI721023 FLM720925:FLM721023 FBQ720925:FBQ721023 ERU720925:ERU721023 EHY720925:EHY721023 DYC720925:DYC721023 DOG720925:DOG721023 DEK720925:DEK721023 CUO720925:CUO721023 CKS720925:CKS721023 CAW720925:CAW721023 BRA720925:BRA721023 BHE720925:BHE721023 AXI720925:AXI721023 ANM720925:ANM721023 ADQ720925:ADQ721023 TU720925:TU721023 JY720925:JY721023 P720924:P721022 WWK655389:WWK655487 WMO655389:WMO655487 WCS655389:WCS655487 VSW655389:VSW655487 VJA655389:VJA655487 UZE655389:UZE655487 UPI655389:UPI655487 UFM655389:UFM655487 TVQ655389:TVQ655487 TLU655389:TLU655487 TBY655389:TBY655487 SSC655389:SSC655487 SIG655389:SIG655487 RYK655389:RYK655487 ROO655389:ROO655487 RES655389:RES655487 QUW655389:QUW655487 QLA655389:QLA655487 QBE655389:QBE655487 PRI655389:PRI655487 PHM655389:PHM655487 OXQ655389:OXQ655487 ONU655389:ONU655487 ODY655389:ODY655487 NUC655389:NUC655487 NKG655389:NKG655487 NAK655389:NAK655487 MQO655389:MQO655487 MGS655389:MGS655487 LWW655389:LWW655487 LNA655389:LNA655487 LDE655389:LDE655487 KTI655389:KTI655487 KJM655389:KJM655487 JZQ655389:JZQ655487 JPU655389:JPU655487 JFY655389:JFY655487 IWC655389:IWC655487 IMG655389:IMG655487 ICK655389:ICK655487 HSO655389:HSO655487 HIS655389:HIS655487 GYW655389:GYW655487 GPA655389:GPA655487 GFE655389:GFE655487 FVI655389:FVI655487 FLM655389:FLM655487 FBQ655389:FBQ655487 ERU655389:ERU655487 EHY655389:EHY655487 DYC655389:DYC655487 DOG655389:DOG655487 DEK655389:DEK655487 CUO655389:CUO655487 CKS655389:CKS655487 CAW655389:CAW655487 BRA655389:BRA655487 BHE655389:BHE655487 AXI655389:AXI655487 ANM655389:ANM655487 ADQ655389:ADQ655487 TU655389:TU655487 JY655389:JY655487 P655388:P655486 WWK589853:WWK589951 WMO589853:WMO589951 WCS589853:WCS589951 VSW589853:VSW589951 VJA589853:VJA589951 UZE589853:UZE589951 UPI589853:UPI589951 UFM589853:UFM589951 TVQ589853:TVQ589951 TLU589853:TLU589951 TBY589853:TBY589951 SSC589853:SSC589951 SIG589853:SIG589951 RYK589853:RYK589951 ROO589853:ROO589951 RES589853:RES589951 QUW589853:QUW589951 QLA589853:QLA589951 QBE589853:QBE589951 PRI589853:PRI589951 PHM589853:PHM589951 OXQ589853:OXQ589951 ONU589853:ONU589951 ODY589853:ODY589951 NUC589853:NUC589951 NKG589853:NKG589951 NAK589853:NAK589951 MQO589853:MQO589951 MGS589853:MGS589951 LWW589853:LWW589951 LNA589853:LNA589951 LDE589853:LDE589951 KTI589853:KTI589951 KJM589853:KJM589951 JZQ589853:JZQ589951 JPU589853:JPU589951 JFY589853:JFY589951 IWC589853:IWC589951 IMG589853:IMG589951 ICK589853:ICK589951 HSO589853:HSO589951 HIS589853:HIS589951 GYW589853:GYW589951 GPA589853:GPA589951 GFE589853:GFE589951 FVI589853:FVI589951 FLM589853:FLM589951 FBQ589853:FBQ589951 ERU589853:ERU589951 EHY589853:EHY589951 DYC589853:DYC589951 DOG589853:DOG589951 DEK589853:DEK589951 CUO589853:CUO589951 CKS589853:CKS589951 CAW589853:CAW589951 BRA589853:BRA589951 BHE589853:BHE589951 AXI589853:AXI589951 ANM589853:ANM589951 ADQ589853:ADQ589951 TU589853:TU589951 JY589853:JY589951 P589852:P589950 WWK524317:WWK524415 WMO524317:WMO524415 WCS524317:WCS524415 VSW524317:VSW524415 VJA524317:VJA524415 UZE524317:UZE524415 UPI524317:UPI524415 UFM524317:UFM524415 TVQ524317:TVQ524415 TLU524317:TLU524415 TBY524317:TBY524415 SSC524317:SSC524415 SIG524317:SIG524415 RYK524317:RYK524415 ROO524317:ROO524415 RES524317:RES524415 QUW524317:QUW524415 QLA524317:QLA524415 QBE524317:QBE524415 PRI524317:PRI524415 PHM524317:PHM524415 OXQ524317:OXQ524415 ONU524317:ONU524415 ODY524317:ODY524415 NUC524317:NUC524415 NKG524317:NKG524415 NAK524317:NAK524415 MQO524317:MQO524415 MGS524317:MGS524415 LWW524317:LWW524415 LNA524317:LNA524415 LDE524317:LDE524415 KTI524317:KTI524415 KJM524317:KJM524415 JZQ524317:JZQ524415 JPU524317:JPU524415 JFY524317:JFY524415 IWC524317:IWC524415 IMG524317:IMG524415 ICK524317:ICK524415 HSO524317:HSO524415 HIS524317:HIS524415 GYW524317:GYW524415 GPA524317:GPA524415 GFE524317:GFE524415 FVI524317:FVI524415 FLM524317:FLM524415 FBQ524317:FBQ524415 ERU524317:ERU524415 EHY524317:EHY524415 DYC524317:DYC524415 DOG524317:DOG524415 DEK524317:DEK524415 CUO524317:CUO524415 CKS524317:CKS524415 CAW524317:CAW524415 BRA524317:BRA524415 BHE524317:BHE524415 AXI524317:AXI524415 ANM524317:ANM524415 ADQ524317:ADQ524415 TU524317:TU524415 JY524317:JY524415 P524316:P524414 WWK458781:WWK458879 WMO458781:WMO458879 WCS458781:WCS458879 VSW458781:VSW458879 VJA458781:VJA458879 UZE458781:UZE458879 UPI458781:UPI458879 UFM458781:UFM458879 TVQ458781:TVQ458879 TLU458781:TLU458879 TBY458781:TBY458879 SSC458781:SSC458879 SIG458781:SIG458879 RYK458781:RYK458879 ROO458781:ROO458879 RES458781:RES458879 QUW458781:QUW458879 QLA458781:QLA458879 QBE458781:QBE458879 PRI458781:PRI458879 PHM458781:PHM458879 OXQ458781:OXQ458879 ONU458781:ONU458879 ODY458781:ODY458879 NUC458781:NUC458879 NKG458781:NKG458879 NAK458781:NAK458879 MQO458781:MQO458879 MGS458781:MGS458879 LWW458781:LWW458879 LNA458781:LNA458879 LDE458781:LDE458879 KTI458781:KTI458879 KJM458781:KJM458879 JZQ458781:JZQ458879 JPU458781:JPU458879 JFY458781:JFY458879 IWC458781:IWC458879 IMG458781:IMG458879 ICK458781:ICK458879 HSO458781:HSO458879 HIS458781:HIS458879 GYW458781:GYW458879 GPA458781:GPA458879 GFE458781:GFE458879 FVI458781:FVI458879 FLM458781:FLM458879 FBQ458781:FBQ458879 ERU458781:ERU458879 EHY458781:EHY458879 DYC458781:DYC458879 DOG458781:DOG458879 DEK458781:DEK458879 CUO458781:CUO458879 CKS458781:CKS458879 CAW458781:CAW458879 BRA458781:BRA458879 BHE458781:BHE458879 AXI458781:AXI458879 ANM458781:ANM458879 ADQ458781:ADQ458879 TU458781:TU458879 JY458781:JY458879 P458780:P458878 WWK393245:WWK393343 WMO393245:WMO393343 WCS393245:WCS393343 VSW393245:VSW393343 VJA393245:VJA393343 UZE393245:UZE393343 UPI393245:UPI393343 UFM393245:UFM393343 TVQ393245:TVQ393343 TLU393245:TLU393343 TBY393245:TBY393343 SSC393245:SSC393343 SIG393245:SIG393343 RYK393245:RYK393343 ROO393245:ROO393343 RES393245:RES393343 QUW393245:QUW393343 QLA393245:QLA393343 QBE393245:QBE393343 PRI393245:PRI393343 PHM393245:PHM393343 OXQ393245:OXQ393343 ONU393245:ONU393343 ODY393245:ODY393343 NUC393245:NUC393343 NKG393245:NKG393343 NAK393245:NAK393343 MQO393245:MQO393343 MGS393245:MGS393343 LWW393245:LWW393343 LNA393245:LNA393343 LDE393245:LDE393343 KTI393245:KTI393343 KJM393245:KJM393343 JZQ393245:JZQ393343 JPU393245:JPU393343 JFY393245:JFY393343 IWC393245:IWC393343 IMG393245:IMG393343 ICK393245:ICK393343 HSO393245:HSO393343 HIS393245:HIS393343 GYW393245:GYW393343 GPA393245:GPA393343 GFE393245:GFE393343 FVI393245:FVI393343 FLM393245:FLM393343 FBQ393245:FBQ393343 ERU393245:ERU393343 EHY393245:EHY393343 DYC393245:DYC393343 DOG393245:DOG393343 DEK393245:DEK393343 CUO393245:CUO393343 CKS393245:CKS393343 CAW393245:CAW393343 BRA393245:BRA393343 BHE393245:BHE393343 AXI393245:AXI393343 ANM393245:ANM393343 ADQ393245:ADQ393343 TU393245:TU393343 JY393245:JY393343 P393244:P393342 WWK327709:WWK327807 WMO327709:WMO327807 WCS327709:WCS327807 VSW327709:VSW327807 VJA327709:VJA327807 UZE327709:UZE327807 UPI327709:UPI327807 UFM327709:UFM327807 TVQ327709:TVQ327807 TLU327709:TLU327807 TBY327709:TBY327807 SSC327709:SSC327807 SIG327709:SIG327807 RYK327709:RYK327807 ROO327709:ROO327807 RES327709:RES327807 QUW327709:QUW327807 QLA327709:QLA327807 QBE327709:QBE327807 PRI327709:PRI327807 PHM327709:PHM327807 OXQ327709:OXQ327807 ONU327709:ONU327807 ODY327709:ODY327807 NUC327709:NUC327807 NKG327709:NKG327807 NAK327709:NAK327807 MQO327709:MQO327807 MGS327709:MGS327807 LWW327709:LWW327807 LNA327709:LNA327807 LDE327709:LDE327807 KTI327709:KTI327807 KJM327709:KJM327807 JZQ327709:JZQ327807 JPU327709:JPU327807 JFY327709:JFY327807 IWC327709:IWC327807 IMG327709:IMG327807 ICK327709:ICK327807 HSO327709:HSO327807 HIS327709:HIS327807 GYW327709:GYW327807 GPA327709:GPA327807 GFE327709:GFE327807 FVI327709:FVI327807 FLM327709:FLM327807 FBQ327709:FBQ327807 ERU327709:ERU327807 EHY327709:EHY327807 DYC327709:DYC327807 DOG327709:DOG327807 DEK327709:DEK327807 CUO327709:CUO327807 CKS327709:CKS327807 CAW327709:CAW327807 BRA327709:BRA327807 BHE327709:BHE327807 AXI327709:AXI327807 ANM327709:ANM327807 ADQ327709:ADQ327807 TU327709:TU327807 JY327709:JY327807 P327708:P327806 WWK262173:WWK262271 WMO262173:WMO262271 WCS262173:WCS262271 VSW262173:VSW262271 VJA262173:VJA262271 UZE262173:UZE262271 UPI262173:UPI262271 UFM262173:UFM262271 TVQ262173:TVQ262271 TLU262173:TLU262271 TBY262173:TBY262271 SSC262173:SSC262271 SIG262173:SIG262271 RYK262173:RYK262271 ROO262173:ROO262271 RES262173:RES262271 QUW262173:QUW262271 QLA262173:QLA262271 QBE262173:QBE262271 PRI262173:PRI262271 PHM262173:PHM262271 OXQ262173:OXQ262271 ONU262173:ONU262271 ODY262173:ODY262271 NUC262173:NUC262271 NKG262173:NKG262271 NAK262173:NAK262271 MQO262173:MQO262271 MGS262173:MGS262271 LWW262173:LWW262271 LNA262173:LNA262271 LDE262173:LDE262271 KTI262173:KTI262271 KJM262173:KJM262271 JZQ262173:JZQ262271 JPU262173:JPU262271 JFY262173:JFY262271 IWC262173:IWC262271 IMG262173:IMG262271 ICK262173:ICK262271 HSO262173:HSO262271 HIS262173:HIS262271 GYW262173:GYW262271 GPA262173:GPA262271 GFE262173:GFE262271 FVI262173:FVI262271 FLM262173:FLM262271 FBQ262173:FBQ262271 ERU262173:ERU262271 EHY262173:EHY262271 DYC262173:DYC262271 DOG262173:DOG262271 DEK262173:DEK262271 CUO262173:CUO262271 CKS262173:CKS262271 CAW262173:CAW262271 BRA262173:BRA262271 BHE262173:BHE262271 AXI262173:AXI262271 ANM262173:ANM262271 ADQ262173:ADQ262271 TU262173:TU262271 JY262173:JY262271 P262172:P262270 WWK196637:WWK196735 WMO196637:WMO196735 WCS196637:WCS196735 VSW196637:VSW196735 VJA196637:VJA196735 UZE196637:UZE196735 UPI196637:UPI196735 UFM196637:UFM196735 TVQ196637:TVQ196735 TLU196637:TLU196735 TBY196637:TBY196735 SSC196637:SSC196735 SIG196637:SIG196735 RYK196637:RYK196735 ROO196637:ROO196735 RES196637:RES196735 QUW196637:QUW196735 QLA196637:QLA196735 QBE196637:QBE196735 PRI196637:PRI196735 PHM196637:PHM196735 OXQ196637:OXQ196735 ONU196637:ONU196735 ODY196637:ODY196735 NUC196637:NUC196735 NKG196637:NKG196735 NAK196637:NAK196735 MQO196637:MQO196735 MGS196637:MGS196735 LWW196637:LWW196735 LNA196637:LNA196735 LDE196637:LDE196735 KTI196637:KTI196735 KJM196637:KJM196735 JZQ196637:JZQ196735 JPU196637:JPU196735 JFY196637:JFY196735 IWC196637:IWC196735 IMG196637:IMG196735 ICK196637:ICK196735 HSO196637:HSO196735 HIS196637:HIS196735 GYW196637:GYW196735 GPA196637:GPA196735 GFE196637:GFE196735 FVI196637:FVI196735 FLM196637:FLM196735 FBQ196637:FBQ196735 ERU196637:ERU196735 EHY196637:EHY196735 DYC196637:DYC196735 DOG196637:DOG196735 DEK196637:DEK196735 CUO196637:CUO196735 CKS196637:CKS196735 CAW196637:CAW196735 BRA196637:BRA196735 BHE196637:BHE196735 AXI196637:AXI196735 ANM196637:ANM196735 ADQ196637:ADQ196735 TU196637:TU196735 JY196637:JY196735 P196636:P196734 WWK131101:WWK131199 WMO131101:WMO131199 WCS131101:WCS131199 VSW131101:VSW131199 VJA131101:VJA131199 UZE131101:UZE131199 UPI131101:UPI131199 UFM131101:UFM131199 TVQ131101:TVQ131199 TLU131101:TLU131199 TBY131101:TBY131199 SSC131101:SSC131199 SIG131101:SIG131199 RYK131101:RYK131199 ROO131101:ROO131199 RES131101:RES131199 QUW131101:QUW131199 QLA131101:QLA131199 QBE131101:QBE131199 PRI131101:PRI131199 PHM131101:PHM131199 OXQ131101:OXQ131199 ONU131101:ONU131199 ODY131101:ODY131199 NUC131101:NUC131199 NKG131101:NKG131199 NAK131101:NAK131199 MQO131101:MQO131199 MGS131101:MGS131199 LWW131101:LWW131199 LNA131101:LNA131199 LDE131101:LDE131199 KTI131101:KTI131199 KJM131101:KJM131199 JZQ131101:JZQ131199 JPU131101:JPU131199 JFY131101:JFY131199 IWC131101:IWC131199 IMG131101:IMG131199 ICK131101:ICK131199 HSO131101:HSO131199 HIS131101:HIS131199 GYW131101:GYW131199 GPA131101:GPA131199 GFE131101:GFE131199 FVI131101:FVI131199 FLM131101:FLM131199 FBQ131101:FBQ131199 ERU131101:ERU131199 EHY131101:EHY131199 DYC131101:DYC131199 DOG131101:DOG131199 DEK131101:DEK131199 CUO131101:CUO131199 CKS131101:CKS131199 CAW131101:CAW131199 BRA131101:BRA131199 BHE131101:BHE131199 AXI131101:AXI131199 ANM131101:ANM131199 ADQ131101:ADQ131199 TU131101:TU131199 JY131101:JY131199 P131100:P131198 WWK65565:WWK65663 WMO65565:WMO65663 WCS65565:WCS65663 VSW65565:VSW65663 VJA65565:VJA65663 UZE65565:UZE65663 UPI65565:UPI65663 UFM65565:UFM65663 TVQ65565:TVQ65663 TLU65565:TLU65663 TBY65565:TBY65663 SSC65565:SSC65663 SIG65565:SIG65663 RYK65565:RYK65663 ROO65565:ROO65663 RES65565:RES65663 QUW65565:QUW65663 QLA65565:QLA65663 QBE65565:QBE65663 PRI65565:PRI65663 PHM65565:PHM65663 OXQ65565:OXQ65663 ONU65565:ONU65663 ODY65565:ODY65663 NUC65565:NUC65663 NKG65565:NKG65663 NAK65565:NAK65663 MQO65565:MQO65663 MGS65565:MGS65663 LWW65565:LWW65663 LNA65565:LNA65663 LDE65565:LDE65663 KTI65565:KTI65663 KJM65565:KJM65663 JZQ65565:JZQ65663 JPU65565:JPU65663 JFY65565:JFY65663 IWC65565:IWC65663 IMG65565:IMG65663 ICK65565:ICK65663 HSO65565:HSO65663 HIS65565:HIS65663 GYW65565:GYW65663 GPA65565:GPA65663 GFE65565:GFE65663 FVI65565:FVI65663 FLM65565:FLM65663 FBQ65565:FBQ65663 ERU65565:ERU65663 EHY65565:EHY65663 DYC65565:DYC65663 DOG65565:DOG65663 DEK65565:DEK65663 CUO65565:CUO65663 CKS65565:CKS65663 CAW65565:CAW65663 BRA65565:BRA65663 BHE65565:BHE65663 AXI65565:AXI65663 ANM65565:ANM65663 ADQ65565:ADQ65663 TU65565:TU65663 JY65565:JY65663 P65564:P65662 WWK28:WWK126 WMO28:WMO126 WCS28:WCS126 VSW28:VSW126 VJA28:VJA126 UZE28:UZE126 UPI28:UPI126 UFM28:UFM126 TVQ28:TVQ126 TLU28:TLU126 TBY28:TBY126 SSC28:SSC126 SIG28:SIG126 RYK28:RYK126 ROO28:ROO126 RES28:RES126 QUW28:QUW126 QLA28:QLA126 QBE28:QBE126 PRI28:PRI126 PHM28:PHM126 OXQ28:OXQ126 ONU28:ONU126 ODY28:ODY126 NUC28:NUC126 NKG28:NKG126 NAK28:NAK126 MQO28:MQO126 MGS28:MGS126 LWW28:LWW126 LNA28:LNA126 LDE28:LDE126 KTI28:KTI126 KJM28:KJM126 JZQ28:JZQ126 JPU28:JPU126 JFY28:JFY126 IWC28:IWC126 IMG28:IMG126 ICK28:ICK126 HSO28:HSO126 HIS28:HIS126 GYW28:GYW126 GPA28:GPA126 GFE28:GFE126 FVI28:FVI126 FLM28:FLM126 FBQ28:FBQ126 ERU28:ERU126 EHY28:EHY126 DYC28:DYC126 DOG28:DOG126 DEK28:DEK126 CUO28:CUO126 CKS28:CKS126 CAW28:CAW126 BRA28:BRA126 BHE28:BHE126 AXI28:AXI126 ANM28:ANM126 ADQ28:ADQ126 TU28:TU126 P27:P126">
      <formula1>$P$136:$P$137</formula1>
    </dataValidation>
    <dataValidation type="list" errorStyle="information" allowBlank="1" showInputMessage="1" showErrorMessage="1" errorTitle="Yes or No" error="Please input either:_x000a__x000a_Y = Yes_x000a_N = No" sqref="WWQ983070:WWQ983167 AD917534:AE917631 AA917534:AA917631 AA851998:AA852095 AA786462:AA786559 AA720926:AA721023 AA655390:AA655487 AA589854:AA589951 AA524318:AA524415 AA458782:AA458879 AA393246:AA393343 AA327710:AA327807 AA262174:AA262271 AA196638:AA196735 AA131102:AA131199 AA65566:AA65663 AA983070:AA983167 U29:U126 TY29:TY126 ADU29:ADU126 ANQ29:ANQ126 AXM29:AXM126 BHI29:BHI126 BRE29:BRE126 CBA29:CBA126 CKW29:CKW126 CUS29:CUS126 DEO29:DEO126 DOK29:DOK126 DYG29:DYG126 EIC29:EIC126 ERY29:ERY126 FBU29:FBU126 FLQ29:FLQ126 FVM29:FVM126 GFI29:GFI126 GPE29:GPE126 GZA29:GZA126 HIW29:HIW126 HSS29:HSS126 ICO29:ICO126 IMK29:IMK126 IWG29:IWG126 JGC29:JGC126 JPY29:JPY126 JZU29:JZU126 KJQ29:KJQ126 KTM29:KTM126 LDI29:LDI126 LNE29:LNE126 LXA29:LXA126 MGW29:MGW126 MQS29:MQS126 NAO29:NAO126 NKK29:NKK126 NUG29:NUG126 OEC29:OEC126 ONY29:ONY126 OXU29:OXU126 PHQ29:PHQ126 PRM29:PRM126 QBI29:QBI126 QLE29:QLE126 QVA29:QVA126 REW29:REW126 ROS29:ROS126 RYO29:RYO126 SIK29:SIK126 SSG29:SSG126 TCC29:TCC126 TLY29:TLY126 TVU29:TVU126 UFQ29:UFQ126 UPM29:UPM126 UZI29:UZI126 VJE29:VJE126 VTA29:VTA126 WCW29:WCW126 WMS29:WMS126 WWO29:WWO126 U65566:U65663 KC65566:KC65663 TY65566:TY65663 ADU65566:ADU65663 ANQ65566:ANQ65663 AXM65566:AXM65663 BHI65566:BHI65663 BRE65566:BRE65663 CBA65566:CBA65663 CKW65566:CKW65663 CUS65566:CUS65663 DEO65566:DEO65663 DOK65566:DOK65663 DYG65566:DYG65663 EIC65566:EIC65663 ERY65566:ERY65663 FBU65566:FBU65663 FLQ65566:FLQ65663 FVM65566:FVM65663 GFI65566:GFI65663 GPE65566:GPE65663 GZA65566:GZA65663 HIW65566:HIW65663 HSS65566:HSS65663 ICO65566:ICO65663 IMK65566:IMK65663 IWG65566:IWG65663 JGC65566:JGC65663 JPY65566:JPY65663 JZU65566:JZU65663 KJQ65566:KJQ65663 KTM65566:KTM65663 LDI65566:LDI65663 LNE65566:LNE65663 LXA65566:LXA65663 MGW65566:MGW65663 MQS65566:MQS65663 NAO65566:NAO65663 NKK65566:NKK65663 NUG65566:NUG65663 OEC65566:OEC65663 ONY65566:ONY65663 OXU65566:OXU65663 PHQ65566:PHQ65663 PRM65566:PRM65663 QBI65566:QBI65663 QLE65566:QLE65663 QVA65566:QVA65663 REW65566:REW65663 ROS65566:ROS65663 RYO65566:RYO65663 SIK65566:SIK65663 SSG65566:SSG65663 TCC65566:TCC65663 TLY65566:TLY65663 TVU65566:TVU65663 UFQ65566:UFQ65663 UPM65566:UPM65663 UZI65566:UZI65663 VJE65566:VJE65663 VTA65566:VTA65663 WCW65566:WCW65663 WMS65566:WMS65663 WWO65566:WWO65663 U131102:U131199 KC131102:KC131199 TY131102:TY131199 ADU131102:ADU131199 ANQ131102:ANQ131199 AXM131102:AXM131199 BHI131102:BHI131199 BRE131102:BRE131199 CBA131102:CBA131199 CKW131102:CKW131199 CUS131102:CUS131199 DEO131102:DEO131199 DOK131102:DOK131199 DYG131102:DYG131199 EIC131102:EIC131199 ERY131102:ERY131199 FBU131102:FBU131199 FLQ131102:FLQ131199 FVM131102:FVM131199 GFI131102:GFI131199 GPE131102:GPE131199 GZA131102:GZA131199 HIW131102:HIW131199 HSS131102:HSS131199 ICO131102:ICO131199 IMK131102:IMK131199 IWG131102:IWG131199 JGC131102:JGC131199 JPY131102:JPY131199 JZU131102:JZU131199 KJQ131102:KJQ131199 KTM131102:KTM131199 LDI131102:LDI131199 LNE131102:LNE131199 LXA131102:LXA131199 MGW131102:MGW131199 MQS131102:MQS131199 NAO131102:NAO131199 NKK131102:NKK131199 NUG131102:NUG131199 OEC131102:OEC131199 ONY131102:ONY131199 OXU131102:OXU131199 PHQ131102:PHQ131199 PRM131102:PRM131199 QBI131102:QBI131199 QLE131102:QLE131199 QVA131102:QVA131199 REW131102:REW131199 ROS131102:ROS131199 RYO131102:RYO131199 SIK131102:SIK131199 SSG131102:SSG131199 TCC131102:TCC131199 TLY131102:TLY131199 TVU131102:TVU131199 UFQ131102:UFQ131199 UPM131102:UPM131199 UZI131102:UZI131199 VJE131102:VJE131199 VTA131102:VTA131199 WCW131102:WCW131199 WMS131102:WMS131199 WWO131102:WWO131199 U196638:U196735 KC196638:KC196735 TY196638:TY196735 ADU196638:ADU196735 ANQ196638:ANQ196735 AXM196638:AXM196735 BHI196638:BHI196735 BRE196638:BRE196735 CBA196638:CBA196735 CKW196638:CKW196735 CUS196638:CUS196735 DEO196638:DEO196735 DOK196638:DOK196735 DYG196638:DYG196735 EIC196638:EIC196735 ERY196638:ERY196735 FBU196638:FBU196735 FLQ196638:FLQ196735 FVM196638:FVM196735 GFI196638:GFI196735 GPE196638:GPE196735 GZA196638:GZA196735 HIW196638:HIW196735 HSS196638:HSS196735 ICO196638:ICO196735 IMK196638:IMK196735 IWG196638:IWG196735 JGC196638:JGC196735 JPY196638:JPY196735 JZU196638:JZU196735 KJQ196638:KJQ196735 KTM196638:KTM196735 LDI196638:LDI196735 LNE196638:LNE196735 LXA196638:LXA196735 MGW196638:MGW196735 MQS196638:MQS196735 NAO196638:NAO196735 NKK196638:NKK196735 NUG196638:NUG196735 OEC196638:OEC196735 ONY196638:ONY196735 OXU196638:OXU196735 PHQ196638:PHQ196735 PRM196638:PRM196735 QBI196638:QBI196735 QLE196638:QLE196735 QVA196638:QVA196735 REW196638:REW196735 ROS196638:ROS196735 RYO196638:RYO196735 SIK196638:SIK196735 SSG196638:SSG196735 TCC196638:TCC196735 TLY196638:TLY196735 TVU196638:TVU196735 UFQ196638:UFQ196735 UPM196638:UPM196735 UZI196638:UZI196735 VJE196638:VJE196735 VTA196638:VTA196735 WCW196638:WCW196735 WMS196638:WMS196735 WWO196638:WWO196735 U262174:U262271 KC262174:KC262271 TY262174:TY262271 ADU262174:ADU262271 ANQ262174:ANQ262271 AXM262174:AXM262271 BHI262174:BHI262271 BRE262174:BRE262271 CBA262174:CBA262271 CKW262174:CKW262271 CUS262174:CUS262271 DEO262174:DEO262271 DOK262174:DOK262271 DYG262174:DYG262271 EIC262174:EIC262271 ERY262174:ERY262271 FBU262174:FBU262271 FLQ262174:FLQ262271 FVM262174:FVM262271 GFI262174:GFI262271 GPE262174:GPE262271 GZA262174:GZA262271 HIW262174:HIW262271 HSS262174:HSS262271 ICO262174:ICO262271 IMK262174:IMK262271 IWG262174:IWG262271 JGC262174:JGC262271 JPY262174:JPY262271 JZU262174:JZU262271 KJQ262174:KJQ262271 KTM262174:KTM262271 LDI262174:LDI262271 LNE262174:LNE262271 LXA262174:LXA262271 MGW262174:MGW262271 MQS262174:MQS262271 NAO262174:NAO262271 NKK262174:NKK262271 NUG262174:NUG262271 OEC262174:OEC262271 ONY262174:ONY262271 OXU262174:OXU262271 PHQ262174:PHQ262271 PRM262174:PRM262271 QBI262174:QBI262271 QLE262174:QLE262271 QVA262174:QVA262271 REW262174:REW262271 ROS262174:ROS262271 RYO262174:RYO262271 SIK262174:SIK262271 SSG262174:SSG262271 TCC262174:TCC262271 TLY262174:TLY262271 TVU262174:TVU262271 UFQ262174:UFQ262271 UPM262174:UPM262271 UZI262174:UZI262271 VJE262174:VJE262271 VTA262174:VTA262271 WCW262174:WCW262271 WMS262174:WMS262271 WWO262174:WWO262271 U327710:U327807 KC327710:KC327807 TY327710:TY327807 ADU327710:ADU327807 ANQ327710:ANQ327807 AXM327710:AXM327807 BHI327710:BHI327807 BRE327710:BRE327807 CBA327710:CBA327807 CKW327710:CKW327807 CUS327710:CUS327807 DEO327710:DEO327807 DOK327710:DOK327807 DYG327710:DYG327807 EIC327710:EIC327807 ERY327710:ERY327807 FBU327710:FBU327807 FLQ327710:FLQ327807 FVM327710:FVM327807 GFI327710:GFI327807 GPE327710:GPE327807 GZA327710:GZA327807 HIW327710:HIW327807 HSS327710:HSS327807 ICO327710:ICO327807 IMK327710:IMK327807 IWG327710:IWG327807 JGC327710:JGC327807 JPY327710:JPY327807 JZU327710:JZU327807 KJQ327710:KJQ327807 KTM327710:KTM327807 LDI327710:LDI327807 LNE327710:LNE327807 LXA327710:LXA327807 MGW327710:MGW327807 MQS327710:MQS327807 NAO327710:NAO327807 NKK327710:NKK327807 NUG327710:NUG327807 OEC327710:OEC327807 ONY327710:ONY327807 OXU327710:OXU327807 PHQ327710:PHQ327807 PRM327710:PRM327807 QBI327710:QBI327807 QLE327710:QLE327807 QVA327710:QVA327807 REW327710:REW327807 ROS327710:ROS327807 RYO327710:RYO327807 SIK327710:SIK327807 SSG327710:SSG327807 TCC327710:TCC327807 TLY327710:TLY327807 TVU327710:TVU327807 UFQ327710:UFQ327807 UPM327710:UPM327807 UZI327710:UZI327807 VJE327710:VJE327807 VTA327710:VTA327807 WCW327710:WCW327807 WMS327710:WMS327807 WWO327710:WWO327807 U393246:U393343 KC393246:KC393343 TY393246:TY393343 ADU393246:ADU393343 ANQ393246:ANQ393343 AXM393246:AXM393343 BHI393246:BHI393343 BRE393246:BRE393343 CBA393246:CBA393343 CKW393246:CKW393343 CUS393246:CUS393343 DEO393246:DEO393343 DOK393246:DOK393343 DYG393246:DYG393343 EIC393246:EIC393343 ERY393246:ERY393343 FBU393246:FBU393343 FLQ393246:FLQ393343 FVM393246:FVM393343 GFI393246:GFI393343 GPE393246:GPE393343 GZA393246:GZA393343 HIW393246:HIW393343 HSS393246:HSS393343 ICO393246:ICO393343 IMK393246:IMK393343 IWG393246:IWG393343 JGC393246:JGC393343 JPY393246:JPY393343 JZU393246:JZU393343 KJQ393246:KJQ393343 KTM393246:KTM393343 LDI393246:LDI393343 LNE393246:LNE393343 LXA393246:LXA393343 MGW393246:MGW393343 MQS393246:MQS393343 NAO393246:NAO393343 NKK393246:NKK393343 NUG393246:NUG393343 OEC393246:OEC393343 ONY393246:ONY393343 OXU393246:OXU393343 PHQ393246:PHQ393343 PRM393246:PRM393343 QBI393246:QBI393343 QLE393246:QLE393343 QVA393246:QVA393343 REW393246:REW393343 ROS393246:ROS393343 RYO393246:RYO393343 SIK393246:SIK393343 SSG393246:SSG393343 TCC393246:TCC393343 TLY393246:TLY393343 TVU393246:TVU393343 UFQ393246:UFQ393343 UPM393246:UPM393343 UZI393246:UZI393343 VJE393246:VJE393343 VTA393246:VTA393343 WCW393246:WCW393343 WMS393246:WMS393343 WWO393246:WWO393343 U458782:U458879 KC458782:KC458879 TY458782:TY458879 ADU458782:ADU458879 ANQ458782:ANQ458879 AXM458782:AXM458879 BHI458782:BHI458879 BRE458782:BRE458879 CBA458782:CBA458879 CKW458782:CKW458879 CUS458782:CUS458879 DEO458782:DEO458879 DOK458782:DOK458879 DYG458782:DYG458879 EIC458782:EIC458879 ERY458782:ERY458879 FBU458782:FBU458879 FLQ458782:FLQ458879 FVM458782:FVM458879 GFI458782:GFI458879 GPE458782:GPE458879 GZA458782:GZA458879 HIW458782:HIW458879 HSS458782:HSS458879 ICO458782:ICO458879 IMK458782:IMK458879 IWG458782:IWG458879 JGC458782:JGC458879 JPY458782:JPY458879 JZU458782:JZU458879 KJQ458782:KJQ458879 KTM458782:KTM458879 LDI458782:LDI458879 LNE458782:LNE458879 LXA458782:LXA458879 MGW458782:MGW458879 MQS458782:MQS458879 NAO458782:NAO458879 NKK458782:NKK458879 NUG458782:NUG458879 OEC458782:OEC458879 ONY458782:ONY458879 OXU458782:OXU458879 PHQ458782:PHQ458879 PRM458782:PRM458879 QBI458782:QBI458879 QLE458782:QLE458879 QVA458782:QVA458879 REW458782:REW458879 ROS458782:ROS458879 RYO458782:RYO458879 SIK458782:SIK458879 SSG458782:SSG458879 TCC458782:TCC458879 TLY458782:TLY458879 TVU458782:TVU458879 UFQ458782:UFQ458879 UPM458782:UPM458879 UZI458782:UZI458879 VJE458782:VJE458879 VTA458782:VTA458879 WCW458782:WCW458879 WMS458782:WMS458879 WWO458782:WWO458879 U524318:U524415 KC524318:KC524415 TY524318:TY524415 ADU524318:ADU524415 ANQ524318:ANQ524415 AXM524318:AXM524415 BHI524318:BHI524415 BRE524318:BRE524415 CBA524318:CBA524415 CKW524318:CKW524415 CUS524318:CUS524415 DEO524318:DEO524415 DOK524318:DOK524415 DYG524318:DYG524415 EIC524318:EIC524415 ERY524318:ERY524415 FBU524318:FBU524415 FLQ524318:FLQ524415 FVM524318:FVM524415 GFI524318:GFI524415 GPE524318:GPE524415 GZA524318:GZA524415 HIW524318:HIW524415 HSS524318:HSS524415 ICO524318:ICO524415 IMK524318:IMK524415 IWG524318:IWG524415 JGC524318:JGC524415 JPY524318:JPY524415 JZU524318:JZU524415 KJQ524318:KJQ524415 KTM524318:KTM524415 LDI524318:LDI524415 LNE524318:LNE524415 LXA524318:LXA524415 MGW524318:MGW524415 MQS524318:MQS524415 NAO524318:NAO524415 NKK524318:NKK524415 NUG524318:NUG524415 OEC524318:OEC524415 ONY524318:ONY524415 OXU524318:OXU524415 PHQ524318:PHQ524415 PRM524318:PRM524415 QBI524318:QBI524415 QLE524318:QLE524415 QVA524318:QVA524415 REW524318:REW524415 ROS524318:ROS524415 RYO524318:RYO524415 SIK524318:SIK524415 SSG524318:SSG524415 TCC524318:TCC524415 TLY524318:TLY524415 TVU524318:TVU524415 UFQ524318:UFQ524415 UPM524318:UPM524415 UZI524318:UZI524415 VJE524318:VJE524415 VTA524318:VTA524415 WCW524318:WCW524415 WMS524318:WMS524415 WWO524318:WWO524415 U589854:U589951 KC589854:KC589951 TY589854:TY589951 ADU589854:ADU589951 ANQ589854:ANQ589951 AXM589854:AXM589951 BHI589854:BHI589951 BRE589854:BRE589951 CBA589854:CBA589951 CKW589854:CKW589951 CUS589854:CUS589951 DEO589854:DEO589951 DOK589854:DOK589951 DYG589854:DYG589951 EIC589854:EIC589951 ERY589854:ERY589951 FBU589854:FBU589951 FLQ589854:FLQ589951 FVM589854:FVM589951 GFI589854:GFI589951 GPE589854:GPE589951 GZA589854:GZA589951 HIW589854:HIW589951 HSS589854:HSS589951 ICO589854:ICO589951 IMK589854:IMK589951 IWG589854:IWG589951 JGC589854:JGC589951 JPY589854:JPY589951 JZU589854:JZU589951 KJQ589854:KJQ589951 KTM589854:KTM589951 LDI589854:LDI589951 LNE589854:LNE589951 LXA589854:LXA589951 MGW589854:MGW589951 MQS589854:MQS589951 NAO589854:NAO589951 NKK589854:NKK589951 NUG589854:NUG589951 OEC589854:OEC589951 ONY589854:ONY589951 OXU589854:OXU589951 PHQ589854:PHQ589951 PRM589854:PRM589951 QBI589854:QBI589951 QLE589854:QLE589951 QVA589854:QVA589951 REW589854:REW589951 ROS589854:ROS589951 RYO589854:RYO589951 SIK589854:SIK589951 SSG589854:SSG589951 TCC589854:TCC589951 TLY589854:TLY589951 TVU589854:TVU589951 UFQ589854:UFQ589951 UPM589854:UPM589951 UZI589854:UZI589951 VJE589854:VJE589951 VTA589854:VTA589951 WCW589854:WCW589951 WMS589854:WMS589951 WWO589854:WWO589951 U655390:U655487 KC655390:KC655487 TY655390:TY655487 ADU655390:ADU655487 ANQ655390:ANQ655487 AXM655390:AXM655487 BHI655390:BHI655487 BRE655390:BRE655487 CBA655390:CBA655487 CKW655390:CKW655487 CUS655390:CUS655487 DEO655390:DEO655487 DOK655390:DOK655487 DYG655390:DYG655487 EIC655390:EIC655487 ERY655390:ERY655487 FBU655390:FBU655487 FLQ655390:FLQ655487 FVM655390:FVM655487 GFI655390:GFI655487 GPE655390:GPE655487 GZA655390:GZA655487 HIW655390:HIW655487 HSS655390:HSS655487 ICO655390:ICO655487 IMK655390:IMK655487 IWG655390:IWG655487 JGC655390:JGC655487 JPY655390:JPY655487 JZU655390:JZU655487 KJQ655390:KJQ655487 KTM655390:KTM655487 LDI655390:LDI655487 LNE655390:LNE655487 LXA655390:LXA655487 MGW655390:MGW655487 MQS655390:MQS655487 NAO655390:NAO655487 NKK655390:NKK655487 NUG655390:NUG655487 OEC655390:OEC655487 ONY655390:ONY655487 OXU655390:OXU655487 PHQ655390:PHQ655487 PRM655390:PRM655487 QBI655390:QBI655487 QLE655390:QLE655487 QVA655390:QVA655487 REW655390:REW655487 ROS655390:ROS655487 RYO655390:RYO655487 SIK655390:SIK655487 SSG655390:SSG655487 TCC655390:TCC655487 TLY655390:TLY655487 TVU655390:TVU655487 UFQ655390:UFQ655487 UPM655390:UPM655487 UZI655390:UZI655487 VJE655390:VJE655487 VTA655390:VTA655487 WCW655390:WCW655487 WMS655390:WMS655487 WWO655390:WWO655487 U720926:U721023 KC720926:KC721023 TY720926:TY721023 ADU720926:ADU721023 ANQ720926:ANQ721023 AXM720926:AXM721023 BHI720926:BHI721023 BRE720926:BRE721023 CBA720926:CBA721023 CKW720926:CKW721023 CUS720926:CUS721023 DEO720926:DEO721023 DOK720926:DOK721023 DYG720926:DYG721023 EIC720926:EIC721023 ERY720926:ERY721023 FBU720926:FBU721023 FLQ720926:FLQ721023 FVM720926:FVM721023 GFI720926:GFI721023 GPE720926:GPE721023 GZA720926:GZA721023 HIW720926:HIW721023 HSS720926:HSS721023 ICO720926:ICO721023 IMK720926:IMK721023 IWG720926:IWG721023 JGC720926:JGC721023 JPY720926:JPY721023 JZU720926:JZU721023 KJQ720926:KJQ721023 KTM720926:KTM721023 LDI720926:LDI721023 LNE720926:LNE721023 LXA720926:LXA721023 MGW720926:MGW721023 MQS720926:MQS721023 NAO720926:NAO721023 NKK720926:NKK721023 NUG720926:NUG721023 OEC720926:OEC721023 ONY720926:ONY721023 OXU720926:OXU721023 PHQ720926:PHQ721023 PRM720926:PRM721023 QBI720926:QBI721023 QLE720926:QLE721023 QVA720926:QVA721023 REW720926:REW721023 ROS720926:ROS721023 RYO720926:RYO721023 SIK720926:SIK721023 SSG720926:SSG721023 TCC720926:TCC721023 TLY720926:TLY721023 TVU720926:TVU721023 UFQ720926:UFQ721023 UPM720926:UPM721023 UZI720926:UZI721023 VJE720926:VJE721023 VTA720926:VTA721023 WCW720926:WCW721023 WMS720926:WMS721023 WWO720926:WWO721023 U786462:U786559 KC786462:KC786559 TY786462:TY786559 ADU786462:ADU786559 ANQ786462:ANQ786559 AXM786462:AXM786559 BHI786462:BHI786559 BRE786462:BRE786559 CBA786462:CBA786559 CKW786462:CKW786559 CUS786462:CUS786559 DEO786462:DEO786559 DOK786462:DOK786559 DYG786462:DYG786559 EIC786462:EIC786559 ERY786462:ERY786559 FBU786462:FBU786559 FLQ786462:FLQ786559 FVM786462:FVM786559 GFI786462:GFI786559 GPE786462:GPE786559 GZA786462:GZA786559 HIW786462:HIW786559 HSS786462:HSS786559 ICO786462:ICO786559 IMK786462:IMK786559 IWG786462:IWG786559 JGC786462:JGC786559 JPY786462:JPY786559 JZU786462:JZU786559 KJQ786462:KJQ786559 KTM786462:KTM786559 LDI786462:LDI786559 LNE786462:LNE786559 LXA786462:LXA786559 MGW786462:MGW786559 MQS786462:MQS786559 NAO786462:NAO786559 NKK786462:NKK786559 NUG786462:NUG786559 OEC786462:OEC786559 ONY786462:ONY786559 OXU786462:OXU786559 PHQ786462:PHQ786559 PRM786462:PRM786559 QBI786462:QBI786559 QLE786462:QLE786559 QVA786462:QVA786559 REW786462:REW786559 ROS786462:ROS786559 RYO786462:RYO786559 SIK786462:SIK786559 SSG786462:SSG786559 TCC786462:TCC786559 TLY786462:TLY786559 TVU786462:TVU786559 UFQ786462:UFQ786559 UPM786462:UPM786559 UZI786462:UZI786559 VJE786462:VJE786559 VTA786462:VTA786559 WCW786462:WCW786559 WMS786462:WMS786559 WWO786462:WWO786559 U851998:U852095 KC851998:KC852095 TY851998:TY852095 ADU851998:ADU852095 ANQ851998:ANQ852095 AXM851998:AXM852095 BHI851998:BHI852095 BRE851998:BRE852095 CBA851998:CBA852095 CKW851998:CKW852095 CUS851998:CUS852095 DEO851998:DEO852095 DOK851998:DOK852095 DYG851998:DYG852095 EIC851998:EIC852095 ERY851998:ERY852095 FBU851998:FBU852095 FLQ851998:FLQ852095 FVM851998:FVM852095 GFI851998:GFI852095 GPE851998:GPE852095 GZA851998:GZA852095 HIW851998:HIW852095 HSS851998:HSS852095 ICO851998:ICO852095 IMK851998:IMK852095 IWG851998:IWG852095 JGC851998:JGC852095 JPY851998:JPY852095 JZU851998:JZU852095 KJQ851998:KJQ852095 KTM851998:KTM852095 LDI851998:LDI852095 LNE851998:LNE852095 LXA851998:LXA852095 MGW851998:MGW852095 MQS851998:MQS852095 NAO851998:NAO852095 NKK851998:NKK852095 NUG851998:NUG852095 OEC851998:OEC852095 ONY851998:ONY852095 OXU851998:OXU852095 PHQ851998:PHQ852095 PRM851998:PRM852095 QBI851998:QBI852095 QLE851998:QLE852095 QVA851998:QVA852095 REW851998:REW852095 ROS851998:ROS852095 RYO851998:RYO852095 SIK851998:SIK852095 SSG851998:SSG852095 TCC851998:TCC852095 TLY851998:TLY852095 TVU851998:TVU852095 UFQ851998:UFQ852095 UPM851998:UPM852095 UZI851998:UZI852095 VJE851998:VJE852095 VTA851998:VTA852095 WCW851998:WCW852095 WMS851998:WMS852095 WWO851998:WWO852095 U917534:U917631 KC917534:KC917631 TY917534:TY917631 ADU917534:ADU917631 ANQ917534:ANQ917631 AXM917534:AXM917631 BHI917534:BHI917631 BRE917534:BRE917631 CBA917534:CBA917631 CKW917534:CKW917631 CUS917534:CUS917631 DEO917534:DEO917631 DOK917534:DOK917631 DYG917534:DYG917631 EIC917534:EIC917631 ERY917534:ERY917631 FBU917534:FBU917631 FLQ917534:FLQ917631 FVM917534:FVM917631 GFI917534:GFI917631 GPE917534:GPE917631 GZA917534:GZA917631 HIW917534:HIW917631 HSS917534:HSS917631 ICO917534:ICO917631 IMK917534:IMK917631 IWG917534:IWG917631 JGC917534:JGC917631 JPY917534:JPY917631 JZU917534:JZU917631 KJQ917534:KJQ917631 KTM917534:KTM917631 LDI917534:LDI917631 LNE917534:LNE917631 LXA917534:LXA917631 MGW917534:MGW917631 MQS917534:MQS917631 NAO917534:NAO917631 NKK917534:NKK917631 NUG917534:NUG917631 OEC917534:OEC917631 ONY917534:ONY917631 OXU917534:OXU917631 PHQ917534:PHQ917631 PRM917534:PRM917631 QBI917534:QBI917631 QLE917534:QLE917631 QVA917534:QVA917631 REW917534:REW917631 ROS917534:ROS917631 RYO917534:RYO917631 SIK917534:SIK917631 SSG917534:SSG917631 TCC917534:TCC917631 TLY917534:TLY917631 TVU917534:TVU917631 UFQ917534:UFQ917631 UPM917534:UPM917631 UZI917534:UZI917631 VJE917534:VJE917631 VTA917534:VTA917631 WCW917534:WCW917631 WMS917534:WMS917631 WWO917534:WWO917631 U983070:U983167 KC983070:KC983167 TY983070:TY983167 ADU983070:ADU983167 ANQ983070:ANQ983167 AXM983070:AXM983167 BHI983070:BHI983167 BRE983070:BRE983167 CBA983070:CBA983167 CKW983070:CKW983167 CUS983070:CUS983167 DEO983070:DEO983167 DOK983070:DOK983167 DYG983070:DYG983167 EIC983070:EIC983167 ERY983070:ERY983167 FBU983070:FBU983167 FLQ983070:FLQ983167 FVM983070:FVM983167 GFI983070:GFI983167 GPE983070:GPE983167 GZA983070:GZA983167 HIW983070:HIW983167 HSS983070:HSS983167 ICO983070:ICO983167 IMK983070:IMK983167 IWG983070:IWG983167 JGC983070:JGC983167 JPY983070:JPY983167 JZU983070:JZU983167 KJQ983070:KJQ983167 KTM983070:KTM983167 LDI983070:LDI983167 LNE983070:LNE983167 LXA983070:LXA983167 MGW983070:MGW983167 MQS983070:MQS983167 NAO983070:NAO983167 NKK983070:NKK983167 NUG983070:NUG983167 OEC983070:OEC983167 ONY983070:ONY983167 OXU983070:OXU983167 PHQ983070:PHQ983167 PRM983070:PRM983167 QBI983070:QBI983167 QLE983070:QLE983167 QVA983070:QVA983167 REW983070:REW983167 ROS983070:ROS983167 RYO983070:RYO983167 SIK983070:SIK983167 SSG983070:SSG983167 TCC983070:TCC983167 TLY983070:TLY983167 TVU983070:TVU983167 UFQ983070:UFQ983167 UPM983070:UPM983167 UZI983070:UZI983167 VJE983070:VJE983167 VTA983070:VTA983167 WCW983070:WCW983167 WMS983070:WMS983167 WWO983070:WWO983167 KC29:KC126 KE29:KE126 UA29:UA126 ADW29:ADW126 ANS29:ANS126 AXO29:AXO126 BHK29:BHK126 BRG29:BRG126 CBC29:CBC126 CKY29:CKY126 CUU29:CUU126 DEQ29:DEQ126 DOM29:DOM126 DYI29:DYI126 EIE29:EIE126 ESA29:ESA126 FBW29:FBW126 FLS29:FLS126 FVO29:FVO126 GFK29:GFK126 GPG29:GPG126 GZC29:GZC126 HIY29:HIY126 HSU29:HSU126 ICQ29:ICQ126 IMM29:IMM126 IWI29:IWI126 JGE29:JGE126 JQA29:JQA126 JZW29:JZW126 KJS29:KJS126 KTO29:KTO126 LDK29:LDK126 LNG29:LNG126 LXC29:LXC126 MGY29:MGY126 MQU29:MQU126 NAQ29:NAQ126 NKM29:NKM126 NUI29:NUI126 OEE29:OEE126 OOA29:OOA126 OXW29:OXW126 PHS29:PHS126 PRO29:PRO126 QBK29:QBK126 QLG29:QLG126 QVC29:QVC126 REY29:REY126 ROU29:ROU126 RYQ29:RYQ126 SIM29:SIM126 SSI29:SSI126 TCE29:TCE126 TMA29:TMA126 TVW29:TVW126 UFS29:UFS126 UPO29:UPO126 UZK29:UZK126 VJG29:VJG126 VTC29:VTC126 WCY29:WCY126 WMU29:WMU126 WWQ29:WWQ126 AD983070:AE983167 KE65566:KE65663 UA65566:UA65663 ADW65566:ADW65663 ANS65566:ANS65663 AXO65566:AXO65663 BHK65566:BHK65663 BRG65566:BRG65663 CBC65566:CBC65663 CKY65566:CKY65663 CUU65566:CUU65663 DEQ65566:DEQ65663 DOM65566:DOM65663 DYI65566:DYI65663 EIE65566:EIE65663 ESA65566:ESA65663 FBW65566:FBW65663 FLS65566:FLS65663 FVO65566:FVO65663 GFK65566:GFK65663 GPG65566:GPG65663 GZC65566:GZC65663 HIY65566:HIY65663 HSU65566:HSU65663 ICQ65566:ICQ65663 IMM65566:IMM65663 IWI65566:IWI65663 JGE65566:JGE65663 JQA65566:JQA65663 JZW65566:JZW65663 KJS65566:KJS65663 KTO65566:KTO65663 LDK65566:LDK65663 LNG65566:LNG65663 LXC65566:LXC65663 MGY65566:MGY65663 MQU65566:MQU65663 NAQ65566:NAQ65663 NKM65566:NKM65663 NUI65566:NUI65663 OEE65566:OEE65663 OOA65566:OOA65663 OXW65566:OXW65663 PHS65566:PHS65663 PRO65566:PRO65663 QBK65566:QBK65663 QLG65566:QLG65663 QVC65566:QVC65663 REY65566:REY65663 ROU65566:ROU65663 RYQ65566:RYQ65663 SIM65566:SIM65663 SSI65566:SSI65663 TCE65566:TCE65663 TMA65566:TMA65663 TVW65566:TVW65663 UFS65566:UFS65663 UPO65566:UPO65663 UZK65566:UZK65663 VJG65566:VJG65663 VTC65566:VTC65663 WCY65566:WCY65663 WMU65566:WMU65663 WWQ65566:WWQ65663 AA35:AA126 KE131102:KE131199 UA131102:UA131199 ADW131102:ADW131199 ANS131102:ANS131199 AXO131102:AXO131199 BHK131102:BHK131199 BRG131102:BRG131199 CBC131102:CBC131199 CKY131102:CKY131199 CUU131102:CUU131199 DEQ131102:DEQ131199 DOM131102:DOM131199 DYI131102:DYI131199 EIE131102:EIE131199 ESA131102:ESA131199 FBW131102:FBW131199 FLS131102:FLS131199 FVO131102:FVO131199 GFK131102:GFK131199 GPG131102:GPG131199 GZC131102:GZC131199 HIY131102:HIY131199 HSU131102:HSU131199 ICQ131102:ICQ131199 IMM131102:IMM131199 IWI131102:IWI131199 JGE131102:JGE131199 JQA131102:JQA131199 JZW131102:JZW131199 KJS131102:KJS131199 KTO131102:KTO131199 LDK131102:LDK131199 LNG131102:LNG131199 LXC131102:LXC131199 MGY131102:MGY131199 MQU131102:MQU131199 NAQ131102:NAQ131199 NKM131102:NKM131199 NUI131102:NUI131199 OEE131102:OEE131199 OOA131102:OOA131199 OXW131102:OXW131199 PHS131102:PHS131199 PRO131102:PRO131199 QBK131102:QBK131199 QLG131102:QLG131199 QVC131102:QVC131199 REY131102:REY131199 ROU131102:ROU131199 RYQ131102:RYQ131199 SIM131102:SIM131199 SSI131102:SSI131199 TCE131102:TCE131199 TMA131102:TMA131199 TVW131102:TVW131199 UFS131102:UFS131199 UPO131102:UPO131199 UZK131102:UZK131199 VJG131102:VJG131199 VTC131102:VTC131199 WCY131102:WCY131199 WMU131102:WMU131199 WWQ131102:WWQ131199 AD65566:AE65663 KE196638:KE196735 UA196638:UA196735 ADW196638:ADW196735 ANS196638:ANS196735 AXO196638:AXO196735 BHK196638:BHK196735 BRG196638:BRG196735 CBC196638:CBC196735 CKY196638:CKY196735 CUU196638:CUU196735 DEQ196638:DEQ196735 DOM196638:DOM196735 DYI196638:DYI196735 EIE196638:EIE196735 ESA196638:ESA196735 FBW196638:FBW196735 FLS196638:FLS196735 FVO196638:FVO196735 GFK196638:GFK196735 GPG196638:GPG196735 GZC196638:GZC196735 HIY196638:HIY196735 HSU196638:HSU196735 ICQ196638:ICQ196735 IMM196638:IMM196735 IWI196638:IWI196735 JGE196638:JGE196735 JQA196638:JQA196735 JZW196638:JZW196735 KJS196638:KJS196735 KTO196638:KTO196735 LDK196638:LDK196735 LNG196638:LNG196735 LXC196638:LXC196735 MGY196638:MGY196735 MQU196638:MQU196735 NAQ196638:NAQ196735 NKM196638:NKM196735 NUI196638:NUI196735 OEE196638:OEE196735 OOA196638:OOA196735 OXW196638:OXW196735 PHS196638:PHS196735 PRO196638:PRO196735 QBK196638:QBK196735 QLG196638:QLG196735 QVC196638:QVC196735 REY196638:REY196735 ROU196638:ROU196735 RYQ196638:RYQ196735 SIM196638:SIM196735 SSI196638:SSI196735 TCE196638:TCE196735 TMA196638:TMA196735 TVW196638:TVW196735 UFS196638:UFS196735 UPO196638:UPO196735 UZK196638:UZK196735 VJG196638:VJG196735 VTC196638:VTC196735 WCY196638:WCY196735 WMU196638:WMU196735 WWQ196638:WWQ196735 AD131102:AE131199 KE262174:KE262271 UA262174:UA262271 ADW262174:ADW262271 ANS262174:ANS262271 AXO262174:AXO262271 BHK262174:BHK262271 BRG262174:BRG262271 CBC262174:CBC262271 CKY262174:CKY262271 CUU262174:CUU262271 DEQ262174:DEQ262271 DOM262174:DOM262271 DYI262174:DYI262271 EIE262174:EIE262271 ESA262174:ESA262271 FBW262174:FBW262271 FLS262174:FLS262271 FVO262174:FVO262271 GFK262174:GFK262271 GPG262174:GPG262271 GZC262174:GZC262271 HIY262174:HIY262271 HSU262174:HSU262271 ICQ262174:ICQ262271 IMM262174:IMM262271 IWI262174:IWI262271 JGE262174:JGE262271 JQA262174:JQA262271 JZW262174:JZW262271 KJS262174:KJS262271 KTO262174:KTO262271 LDK262174:LDK262271 LNG262174:LNG262271 LXC262174:LXC262271 MGY262174:MGY262271 MQU262174:MQU262271 NAQ262174:NAQ262271 NKM262174:NKM262271 NUI262174:NUI262271 OEE262174:OEE262271 OOA262174:OOA262271 OXW262174:OXW262271 PHS262174:PHS262271 PRO262174:PRO262271 QBK262174:QBK262271 QLG262174:QLG262271 QVC262174:QVC262271 REY262174:REY262271 ROU262174:ROU262271 RYQ262174:RYQ262271 SIM262174:SIM262271 SSI262174:SSI262271 TCE262174:TCE262271 TMA262174:TMA262271 TVW262174:TVW262271 UFS262174:UFS262271 UPO262174:UPO262271 UZK262174:UZK262271 VJG262174:VJG262271 VTC262174:VTC262271 WCY262174:WCY262271 WMU262174:WMU262271 WWQ262174:WWQ262271 AD196638:AE196735 KE327710:KE327807 UA327710:UA327807 ADW327710:ADW327807 ANS327710:ANS327807 AXO327710:AXO327807 BHK327710:BHK327807 BRG327710:BRG327807 CBC327710:CBC327807 CKY327710:CKY327807 CUU327710:CUU327807 DEQ327710:DEQ327807 DOM327710:DOM327807 DYI327710:DYI327807 EIE327710:EIE327807 ESA327710:ESA327807 FBW327710:FBW327807 FLS327710:FLS327807 FVO327710:FVO327807 GFK327710:GFK327807 GPG327710:GPG327807 GZC327710:GZC327807 HIY327710:HIY327807 HSU327710:HSU327807 ICQ327710:ICQ327807 IMM327710:IMM327807 IWI327710:IWI327807 JGE327710:JGE327807 JQA327710:JQA327807 JZW327710:JZW327807 KJS327710:KJS327807 KTO327710:KTO327807 LDK327710:LDK327807 LNG327710:LNG327807 LXC327710:LXC327807 MGY327710:MGY327807 MQU327710:MQU327807 NAQ327710:NAQ327807 NKM327710:NKM327807 NUI327710:NUI327807 OEE327710:OEE327807 OOA327710:OOA327807 OXW327710:OXW327807 PHS327710:PHS327807 PRO327710:PRO327807 QBK327710:QBK327807 QLG327710:QLG327807 QVC327710:QVC327807 REY327710:REY327807 ROU327710:ROU327807 RYQ327710:RYQ327807 SIM327710:SIM327807 SSI327710:SSI327807 TCE327710:TCE327807 TMA327710:TMA327807 TVW327710:TVW327807 UFS327710:UFS327807 UPO327710:UPO327807 UZK327710:UZK327807 VJG327710:VJG327807 VTC327710:VTC327807 WCY327710:WCY327807 WMU327710:WMU327807 WWQ327710:WWQ327807 AD262174:AE262271 KE393246:KE393343 UA393246:UA393343 ADW393246:ADW393343 ANS393246:ANS393343 AXO393246:AXO393343 BHK393246:BHK393343 BRG393246:BRG393343 CBC393246:CBC393343 CKY393246:CKY393343 CUU393246:CUU393343 DEQ393246:DEQ393343 DOM393246:DOM393343 DYI393246:DYI393343 EIE393246:EIE393343 ESA393246:ESA393343 FBW393246:FBW393343 FLS393246:FLS393343 FVO393246:FVO393343 GFK393246:GFK393343 GPG393246:GPG393343 GZC393246:GZC393343 HIY393246:HIY393343 HSU393246:HSU393343 ICQ393246:ICQ393343 IMM393246:IMM393343 IWI393246:IWI393343 JGE393246:JGE393343 JQA393246:JQA393343 JZW393246:JZW393343 KJS393246:KJS393343 KTO393246:KTO393343 LDK393246:LDK393343 LNG393246:LNG393343 LXC393246:LXC393343 MGY393246:MGY393343 MQU393246:MQU393343 NAQ393246:NAQ393343 NKM393246:NKM393343 NUI393246:NUI393343 OEE393246:OEE393343 OOA393246:OOA393343 OXW393246:OXW393343 PHS393246:PHS393343 PRO393246:PRO393343 QBK393246:QBK393343 QLG393246:QLG393343 QVC393246:QVC393343 REY393246:REY393343 ROU393246:ROU393343 RYQ393246:RYQ393343 SIM393246:SIM393343 SSI393246:SSI393343 TCE393246:TCE393343 TMA393246:TMA393343 TVW393246:TVW393343 UFS393246:UFS393343 UPO393246:UPO393343 UZK393246:UZK393343 VJG393246:VJG393343 VTC393246:VTC393343 WCY393246:WCY393343 WMU393246:WMU393343 WWQ393246:WWQ393343 AD327710:AE327807 KE458782:KE458879 UA458782:UA458879 ADW458782:ADW458879 ANS458782:ANS458879 AXO458782:AXO458879 BHK458782:BHK458879 BRG458782:BRG458879 CBC458782:CBC458879 CKY458782:CKY458879 CUU458782:CUU458879 DEQ458782:DEQ458879 DOM458782:DOM458879 DYI458782:DYI458879 EIE458782:EIE458879 ESA458782:ESA458879 FBW458782:FBW458879 FLS458782:FLS458879 FVO458782:FVO458879 GFK458782:GFK458879 GPG458782:GPG458879 GZC458782:GZC458879 HIY458782:HIY458879 HSU458782:HSU458879 ICQ458782:ICQ458879 IMM458782:IMM458879 IWI458782:IWI458879 JGE458782:JGE458879 JQA458782:JQA458879 JZW458782:JZW458879 KJS458782:KJS458879 KTO458782:KTO458879 LDK458782:LDK458879 LNG458782:LNG458879 LXC458782:LXC458879 MGY458782:MGY458879 MQU458782:MQU458879 NAQ458782:NAQ458879 NKM458782:NKM458879 NUI458782:NUI458879 OEE458782:OEE458879 OOA458782:OOA458879 OXW458782:OXW458879 PHS458782:PHS458879 PRO458782:PRO458879 QBK458782:QBK458879 QLG458782:QLG458879 QVC458782:QVC458879 REY458782:REY458879 ROU458782:ROU458879 RYQ458782:RYQ458879 SIM458782:SIM458879 SSI458782:SSI458879 TCE458782:TCE458879 TMA458782:TMA458879 TVW458782:TVW458879 UFS458782:UFS458879 UPO458782:UPO458879 UZK458782:UZK458879 VJG458782:VJG458879 VTC458782:VTC458879 WCY458782:WCY458879 WMU458782:WMU458879 WWQ458782:WWQ458879 AD393246:AE393343 KE524318:KE524415 UA524318:UA524415 ADW524318:ADW524415 ANS524318:ANS524415 AXO524318:AXO524415 BHK524318:BHK524415 BRG524318:BRG524415 CBC524318:CBC524415 CKY524318:CKY524415 CUU524318:CUU524415 DEQ524318:DEQ524415 DOM524318:DOM524415 DYI524318:DYI524415 EIE524318:EIE524415 ESA524318:ESA524415 FBW524318:FBW524415 FLS524318:FLS524415 FVO524318:FVO524415 GFK524318:GFK524415 GPG524318:GPG524415 GZC524318:GZC524415 HIY524318:HIY524415 HSU524318:HSU524415 ICQ524318:ICQ524415 IMM524318:IMM524415 IWI524318:IWI524415 JGE524318:JGE524415 JQA524318:JQA524415 JZW524318:JZW524415 KJS524318:KJS524415 KTO524318:KTO524415 LDK524318:LDK524415 LNG524318:LNG524415 LXC524318:LXC524415 MGY524318:MGY524415 MQU524318:MQU524415 NAQ524318:NAQ524415 NKM524318:NKM524415 NUI524318:NUI524415 OEE524318:OEE524415 OOA524318:OOA524415 OXW524318:OXW524415 PHS524318:PHS524415 PRO524318:PRO524415 QBK524318:QBK524415 QLG524318:QLG524415 QVC524318:QVC524415 REY524318:REY524415 ROU524318:ROU524415 RYQ524318:RYQ524415 SIM524318:SIM524415 SSI524318:SSI524415 TCE524318:TCE524415 TMA524318:TMA524415 TVW524318:TVW524415 UFS524318:UFS524415 UPO524318:UPO524415 UZK524318:UZK524415 VJG524318:VJG524415 VTC524318:VTC524415 WCY524318:WCY524415 WMU524318:WMU524415 WWQ524318:WWQ524415 AD458782:AE458879 KE589854:KE589951 UA589854:UA589951 ADW589854:ADW589951 ANS589854:ANS589951 AXO589854:AXO589951 BHK589854:BHK589951 BRG589854:BRG589951 CBC589854:CBC589951 CKY589854:CKY589951 CUU589854:CUU589951 DEQ589854:DEQ589951 DOM589854:DOM589951 DYI589854:DYI589951 EIE589854:EIE589951 ESA589854:ESA589951 FBW589854:FBW589951 FLS589854:FLS589951 FVO589854:FVO589951 GFK589854:GFK589951 GPG589854:GPG589951 GZC589854:GZC589951 HIY589854:HIY589951 HSU589854:HSU589951 ICQ589854:ICQ589951 IMM589854:IMM589951 IWI589854:IWI589951 JGE589854:JGE589951 JQA589854:JQA589951 JZW589854:JZW589951 KJS589854:KJS589951 KTO589854:KTO589951 LDK589854:LDK589951 LNG589854:LNG589951 LXC589854:LXC589951 MGY589854:MGY589951 MQU589854:MQU589951 NAQ589854:NAQ589951 NKM589854:NKM589951 NUI589854:NUI589951 OEE589854:OEE589951 OOA589854:OOA589951 OXW589854:OXW589951 PHS589854:PHS589951 PRO589854:PRO589951 QBK589854:QBK589951 QLG589854:QLG589951 QVC589854:QVC589951 REY589854:REY589951 ROU589854:ROU589951 RYQ589854:RYQ589951 SIM589854:SIM589951 SSI589854:SSI589951 TCE589854:TCE589951 TMA589854:TMA589951 TVW589854:TVW589951 UFS589854:UFS589951 UPO589854:UPO589951 UZK589854:UZK589951 VJG589854:VJG589951 VTC589854:VTC589951 WCY589854:WCY589951 WMU589854:WMU589951 WWQ589854:WWQ589951 AD524318:AE524415 KE655390:KE655487 UA655390:UA655487 ADW655390:ADW655487 ANS655390:ANS655487 AXO655390:AXO655487 BHK655390:BHK655487 BRG655390:BRG655487 CBC655390:CBC655487 CKY655390:CKY655487 CUU655390:CUU655487 DEQ655390:DEQ655487 DOM655390:DOM655487 DYI655390:DYI655487 EIE655390:EIE655487 ESA655390:ESA655487 FBW655390:FBW655487 FLS655390:FLS655487 FVO655390:FVO655487 GFK655390:GFK655487 GPG655390:GPG655487 GZC655390:GZC655487 HIY655390:HIY655487 HSU655390:HSU655487 ICQ655390:ICQ655487 IMM655390:IMM655487 IWI655390:IWI655487 JGE655390:JGE655487 JQA655390:JQA655487 JZW655390:JZW655487 KJS655390:KJS655487 KTO655390:KTO655487 LDK655390:LDK655487 LNG655390:LNG655487 LXC655390:LXC655487 MGY655390:MGY655487 MQU655390:MQU655487 NAQ655390:NAQ655487 NKM655390:NKM655487 NUI655390:NUI655487 OEE655390:OEE655487 OOA655390:OOA655487 OXW655390:OXW655487 PHS655390:PHS655487 PRO655390:PRO655487 QBK655390:QBK655487 QLG655390:QLG655487 QVC655390:QVC655487 REY655390:REY655487 ROU655390:ROU655487 RYQ655390:RYQ655487 SIM655390:SIM655487 SSI655390:SSI655487 TCE655390:TCE655487 TMA655390:TMA655487 TVW655390:TVW655487 UFS655390:UFS655487 UPO655390:UPO655487 UZK655390:UZK655487 VJG655390:VJG655487 VTC655390:VTC655487 WCY655390:WCY655487 WMU655390:WMU655487 WWQ655390:WWQ655487 AD589854:AE589951 KE720926:KE721023 UA720926:UA721023 ADW720926:ADW721023 ANS720926:ANS721023 AXO720926:AXO721023 BHK720926:BHK721023 BRG720926:BRG721023 CBC720926:CBC721023 CKY720926:CKY721023 CUU720926:CUU721023 DEQ720926:DEQ721023 DOM720926:DOM721023 DYI720926:DYI721023 EIE720926:EIE721023 ESA720926:ESA721023 FBW720926:FBW721023 FLS720926:FLS721023 FVO720926:FVO721023 GFK720926:GFK721023 GPG720926:GPG721023 GZC720926:GZC721023 HIY720926:HIY721023 HSU720926:HSU721023 ICQ720926:ICQ721023 IMM720926:IMM721023 IWI720926:IWI721023 JGE720926:JGE721023 JQA720926:JQA721023 JZW720926:JZW721023 KJS720926:KJS721023 KTO720926:KTO721023 LDK720926:LDK721023 LNG720926:LNG721023 LXC720926:LXC721023 MGY720926:MGY721023 MQU720926:MQU721023 NAQ720926:NAQ721023 NKM720926:NKM721023 NUI720926:NUI721023 OEE720926:OEE721023 OOA720926:OOA721023 OXW720926:OXW721023 PHS720926:PHS721023 PRO720926:PRO721023 QBK720926:QBK721023 QLG720926:QLG721023 QVC720926:QVC721023 REY720926:REY721023 ROU720926:ROU721023 RYQ720926:RYQ721023 SIM720926:SIM721023 SSI720926:SSI721023 TCE720926:TCE721023 TMA720926:TMA721023 TVW720926:TVW721023 UFS720926:UFS721023 UPO720926:UPO721023 UZK720926:UZK721023 VJG720926:VJG721023 VTC720926:VTC721023 WCY720926:WCY721023 WMU720926:WMU721023 WWQ720926:WWQ721023 AD655390:AE655487 KE786462:KE786559 UA786462:UA786559 ADW786462:ADW786559 ANS786462:ANS786559 AXO786462:AXO786559 BHK786462:BHK786559 BRG786462:BRG786559 CBC786462:CBC786559 CKY786462:CKY786559 CUU786462:CUU786559 DEQ786462:DEQ786559 DOM786462:DOM786559 DYI786462:DYI786559 EIE786462:EIE786559 ESA786462:ESA786559 FBW786462:FBW786559 FLS786462:FLS786559 FVO786462:FVO786559 GFK786462:GFK786559 GPG786462:GPG786559 GZC786462:GZC786559 HIY786462:HIY786559 HSU786462:HSU786559 ICQ786462:ICQ786559 IMM786462:IMM786559 IWI786462:IWI786559 JGE786462:JGE786559 JQA786462:JQA786559 JZW786462:JZW786559 KJS786462:KJS786559 KTO786462:KTO786559 LDK786462:LDK786559 LNG786462:LNG786559 LXC786462:LXC786559 MGY786462:MGY786559 MQU786462:MQU786559 NAQ786462:NAQ786559 NKM786462:NKM786559 NUI786462:NUI786559 OEE786462:OEE786559 OOA786462:OOA786559 OXW786462:OXW786559 PHS786462:PHS786559 PRO786462:PRO786559 QBK786462:QBK786559 QLG786462:QLG786559 QVC786462:QVC786559 REY786462:REY786559 ROU786462:ROU786559 RYQ786462:RYQ786559 SIM786462:SIM786559 SSI786462:SSI786559 TCE786462:TCE786559 TMA786462:TMA786559 TVW786462:TVW786559 UFS786462:UFS786559 UPO786462:UPO786559 UZK786462:UZK786559 VJG786462:VJG786559 VTC786462:VTC786559 WCY786462:WCY786559 WMU786462:WMU786559 WWQ786462:WWQ786559 AD720926:AE721023 KE851998:KE852095 UA851998:UA852095 ADW851998:ADW852095 ANS851998:ANS852095 AXO851998:AXO852095 BHK851998:BHK852095 BRG851998:BRG852095 CBC851998:CBC852095 CKY851998:CKY852095 CUU851998:CUU852095 DEQ851998:DEQ852095 DOM851998:DOM852095 DYI851998:DYI852095 EIE851998:EIE852095 ESA851998:ESA852095 FBW851998:FBW852095 FLS851998:FLS852095 FVO851998:FVO852095 GFK851998:GFK852095 GPG851998:GPG852095 GZC851998:GZC852095 HIY851998:HIY852095 HSU851998:HSU852095 ICQ851998:ICQ852095 IMM851998:IMM852095 IWI851998:IWI852095 JGE851998:JGE852095 JQA851998:JQA852095 JZW851998:JZW852095 KJS851998:KJS852095 KTO851998:KTO852095 LDK851998:LDK852095 LNG851998:LNG852095 LXC851998:LXC852095 MGY851998:MGY852095 MQU851998:MQU852095 NAQ851998:NAQ852095 NKM851998:NKM852095 NUI851998:NUI852095 OEE851998:OEE852095 OOA851998:OOA852095 OXW851998:OXW852095 PHS851998:PHS852095 PRO851998:PRO852095 QBK851998:QBK852095 QLG851998:QLG852095 QVC851998:QVC852095 REY851998:REY852095 ROU851998:ROU852095 RYQ851998:RYQ852095 SIM851998:SIM852095 SSI851998:SSI852095 TCE851998:TCE852095 TMA851998:TMA852095 TVW851998:TVW852095 UFS851998:UFS852095 UPO851998:UPO852095 UZK851998:UZK852095 VJG851998:VJG852095 VTC851998:VTC852095 WCY851998:WCY852095 WMU851998:WMU852095 WWQ851998:WWQ852095 AD786462:AE786559 KE917534:KE917631 UA917534:UA917631 ADW917534:ADW917631 ANS917534:ANS917631 AXO917534:AXO917631 BHK917534:BHK917631 BRG917534:BRG917631 CBC917534:CBC917631 CKY917534:CKY917631 CUU917534:CUU917631 DEQ917534:DEQ917631 DOM917534:DOM917631 DYI917534:DYI917631 EIE917534:EIE917631 ESA917534:ESA917631 FBW917534:FBW917631 FLS917534:FLS917631 FVO917534:FVO917631 GFK917534:GFK917631 GPG917534:GPG917631 GZC917534:GZC917631 HIY917534:HIY917631 HSU917534:HSU917631 ICQ917534:ICQ917631 IMM917534:IMM917631 IWI917534:IWI917631 JGE917534:JGE917631 JQA917534:JQA917631 JZW917534:JZW917631 KJS917534:KJS917631 KTO917534:KTO917631 LDK917534:LDK917631 LNG917534:LNG917631 LXC917534:LXC917631 MGY917534:MGY917631 MQU917534:MQU917631 NAQ917534:NAQ917631 NKM917534:NKM917631 NUI917534:NUI917631 OEE917534:OEE917631 OOA917534:OOA917631 OXW917534:OXW917631 PHS917534:PHS917631 PRO917534:PRO917631 QBK917534:QBK917631 QLG917534:QLG917631 QVC917534:QVC917631 REY917534:REY917631 ROU917534:ROU917631 RYQ917534:RYQ917631 SIM917534:SIM917631 SSI917534:SSI917631 TCE917534:TCE917631 TMA917534:TMA917631 TVW917534:TVW917631 UFS917534:UFS917631 UPO917534:UPO917631 UZK917534:UZK917631 VJG917534:VJG917631 VTC917534:VTC917631 WCY917534:WCY917631 WMU917534:WMU917631 WWQ917534:WWQ917631 AD851998:AE852095 KE983070:KE983167 UA983070:UA983167 ADW983070:ADW983167 ANS983070:ANS983167 AXO983070:AXO983167 BHK983070:BHK983167 BRG983070:BRG983167 CBC983070:CBC983167 CKY983070:CKY983167 CUU983070:CUU983167 DEQ983070:DEQ983167 DOM983070:DOM983167 DYI983070:DYI983167 EIE983070:EIE983167 ESA983070:ESA983167 FBW983070:FBW983167 FLS983070:FLS983167 FVO983070:FVO983167 GFK983070:GFK983167 GPG983070:GPG983167 GZC983070:GZC983167 HIY983070:HIY983167 HSU983070:HSU983167 ICQ983070:ICQ983167 IMM983070:IMM983167 IWI983070:IWI983167 JGE983070:JGE983167 JQA983070:JQA983167 JZW983070:JZW983167 KJS983070:KJS983167 KTO983070:KTO983167 LDK983070:LDK983167 LNG983070:LNG983167 LXC983070:LXC983167 MGY983070:MGY983167 MQU983070:MQU983167 NAQ983070:NAQ983167 NKM983070:NKM983167 NUI983070:NUI983167 OEE983070:OEE983167 OOA983070:OOA983167 OXW983070:OXW983167 PHS983070:PHS983167 PRO983070:PRO983167 QBK983070:QBK983167 QLG983070:QLG983167 QVC983070:QVC983167 REY983070:REY983167 ROU983070:ROU983167 RYQ983070:RYQ983167 SIM983070:SIM983167 SSI983070:SSI983167 TCE983070:TCE983167 TMA983070:TMA983167 TVW983070:TVW983167 UFS983070:UFS983167 UPO983070:UPO983167 UZK983070:UZK983167 VJG983070:VJG983167 VTC983070:VTC983167 WCY983070:WCY983167 WMU983070:WMU983167">
      <formula1>$I$136:$I$137</formula1>
    </dataValidation>
    <dataValidation type="list" allowBlank="1" showInputMessage="1" showErrorMessage="1" sqref="J27:J126">
      <formula1>$J$136:$J$137</formula1>
    </dataValidation>
    <dataValidation type="list" allowBlank="1" showInputMessage="1" showErrorMessage="1" sqref="AB27">
      <formula1>$AB$136:$AB$139</formula1>
    </dataValidation>
    <dataValidation type="list" errorStyle="warning" allowBlank="1" showInputMessage="1" showErrorMessage="1" errorTitle="Special Condition Type" error="Input either: _x000a__x000a_Amortization_x000a_Lock-In_x000a_Other" sqref="AB28:AB126">
      <formula1>$AB$136:$AB$139</formula1>
    </dataValidation>
    <dataValidation type="list" allowBlank="1" showInputMessage="1" showErrorMessage="1" sqref="AK27">
      <formula1>$AK$136:$AK$138</formula1>
    </dataValidation>
    <dataValidation type="list" errorStyle="information" allowBlank="1" showErrorMessage="1" errorTitle="Issuance to Parent" error="Please input either:_x000a__x000a_Y = Yes_x000a_N = No" sqref="AK28:AK126">
      <formula1>$AK$136:$AK$138</formula1>
    </dataValidation>
    <dataValidation type="list" allowBlank="1" showInputMessage="1" showErrorMessage="1" sqref="AL27">
      <formula1>$AL$136:$AL$138</formula1>
    </dataValidation>
    <dataValidation type="list" errorStyle="information" allowBlank="1" showErrorMessage="1" errorTitle="Issuance to Parent" error="Please input either:_x000a__x000a_Y = Yes_x000a_N = No" sqref="AL28:AL126">
      <formula1>$AL$136:$AL$138</formula1>
    </dataValidation>
    <dataValidation type="list" allowBlank="1" showInputMessage="1" showErrorMessage="1" sqref="H27:H126">
      <formula1>$H$136:$H$140</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0070C0"/>
  </sheetPr>
  <dimension ref="A1:AD141"/>
  <sheetViews>
    <sheetView topLeftCell="A101" zoomScaleNormal="100" workbookViewId="0">
      <selection activeCell="C122" sqref="C122"/>
    </sheetView>
  </sheetViews>
  <sheetFormatPr defaultRowHeight="12.75" x14ac:dyDescent="0.2"/>
  <cols>
    <col min="1" max="1" width="5.42578125" customWidth="1"/>
    <col min="2" max="2" width="5" customWidth="1"/>
    <col min="3" max="3" width="36.7109375" customWidth="1"/>
    <col min="4" max="4" width="16.85546875" customWidth="1"/>
    <col min="5" max="6" width="14.7109375" customWidth="1"/>
    <col min="7" max="7" width="13.28515625" customWidth="1"/>
    <col min="8" max="8" width="17" customWidth="1"/>
    <col min="9" max="9" width="20.28515625" customWidth="1"/>
    <col min="10" max="10" width="20.140625" customWidth="1"/>
    <col min="11" max="19" width="20" customWidth="1"/>
    <col min="20" max="20" width="3.85546875" customWidth="1"/>
    <col min="21" max="21" width="20" customWidth="1"/>
    <col min="22" max="22" width="19.85546875" customWidth="1"/>
    <col min="23" max="23" width="3.85546875" customWidth="1"/>
    <col min="24" max="25" width="20" customWidth="1"/>
    <col min="26" max="26" width="3.42578125" customWidth="1"/>
    <col min="27" max="27" width="20" customWidth="1"/>
    <col min="28" max="28" width="2.7109375" customWidth="1"/>
    <col min="255" max="255" width="3.85546875" customWidth="1"/>
    <col min="256" max="256" width="41.85546875" customWidth="1"/>
    <col min="257" max="257" width="19.140625" customWidth="1"/>
    <col min="258" max="258" width="16.7109375" customWidth="1"/>
    <col min="259" max="259" width="13" customWidth="1"/>
    <col min="260" max="262" width="14.140625" customWidth="1"/>
    <col min="263" max="263" width="6.5703125" customWidth="1"/>
    <col min="264" max="264" width="15.42578125" customWidth="1"/>
    <col min="265" max="265" width="12.28515625" customWidth="1"/>
    <col min="266" max="267" width="13" customWidth="1"/>
    <col min="268" max="268" width="7.28515625" customWidth="1"/>
    <col min="269" max="270" width="23.140625" customWidth="1"/>
    <col min="271" max="271" width="22.85546875" customWidth="1"/>
    <col min="272" max="273" width="22.7109375" customWidth="1"/>
    <col min="274" max="274" width="22.5703125" customWidth="1"/>
    <col min="275" max="275" width="13.5703125" customWidth="1"/>
    <col min="276" max="276" width="10.28515625" bestFit="1" customWidth="1"/>
    <col min="277" max="277" width="22.7109375" customWidth="1"/>
    <col min="278" max="278" width="4.28515625" customWidth="1"/>
    <col min="279" max="279" width="8.7109375" customWidth="1"/>
    <col min="280" max="280" width="1.5703125" customWidth="1"/>
    <col min="281" max="281" width="3" customWidth="1"/>
    <col min="511" max="511" width="3.85546875" customWidth="1"/>
    <col min="512" max="512" width="41.85546875" customWidth="1"/>
    <col min="513" max="513" width="19.140625" customWidth="1"/>
    <col min="514" max="514" width="16.7109375" customWidth="1"/>
    <col min="515" max="515" width="13" customWidth="1"/>
    <col min="516" max="518" width="14.140625" customWidth="1"/>
    <col min="519" max="519" width="6.5703125" customWidth="1"/>
    <col min="520" max="520" width="15.42578125" customWidth="1"/>
    <col min="521" max="521" width="12.28515625" customWidth="1"/>
    <col min="522" max="523" width="13" customWidth="1"/>
    <col min="524" max="524" width="7.28515625" customWidth="1"/>
    <col min="525" max="526" width="23.140625" customWidth="1"/>
    <col min="527" max="527" width="22.85546875" customWidth="1"/>
    <col min="528" max="529" width="22.7109375" customWidth="1"/>
    <col min="530" max="530" width="22.5703125" customWidth="1"/>
    <col min="531" max="531" width="13.5703125" customWidth="1"/>
    <col min="532" max="532" width="10.28515625" bestFit="1" customWidth="1"/>
    <col min="533" max="533" width="22.7109375" customWidth="1"/>
    <col min="534" max="534" width="4.28515625" customWidth="1"/>
    <col min="535" max="535" width="8.7109375" customWidth="1"/>
    <col min="536" max="536" width="1.5703125" customWidth="1"/>
    <col min="537" max="537" width="3" customWidth="1"/>
    <col min="767" max="767" width="3.85546875" customWidth="1"/>
    <col min="768" max="768" width="41.85546875" customWidth="1"/>
    <col min="769" max="769" width="19.140625" customWidth="1"/>
    <col min="770" max="770" width="16.7109375" customWidth="1"/>
    <col min="771" max="771" width="13" customWidth="1"/>
    <col min="772" max="774" width="14.140625" customWidth="1"/>
    <col min="775" max="775" width="6.5703125" customWidth="1"/>
    <col min="776" max="776" width="15.42578125" customWidth="1"/>
    <col min="777" max="777" width="12.28515625" customWidth="1"/>
    <col min="778" max="779" width="13" customWidth="1"/>
    <col min="780" max="780" width="7.28515625" customWidth="1"/>
    <col min="781" max="782" width="23.140625" customWidth="1"/>
    <col min="783" max="783" width="22.85546875" customWidth="1"/>
    <col min="784" max="785" width="22.7109375" customWidth="1"/>
    <col min="786" max="786" width="22.5703125" customWidth="1"/>
    <col min="787" max="787" width="13.5703125" customWidth="1"/>
    <col min="788" max="788" width="10.28515625" bestFit="1" customWidth="1"/>
    <col min="789" max="789" width="22.7109375" customWidth="1"/>
    <col min="790" max="790" width="4.28515625" customWidth="1"/>
    <col min="791" max="791" width="8.7109375" customWidth="1"/>
    <col min="792" max="792" width="1.5703125" customWidth="1"/>
    <col min="793" max="793" width="3" customWidth="1"/>
    <col min="1023" max="1023" width="3.85546875" customWidth="1"/>
    <col min="1024" max="1024" width="41.85546875" customWidth="1"/>
    <col min="1025" max="1025" width="19.140625" customWidth="1"/>
    <col min="1026" max="1026" width="16.7109375" customWidth="1"/>
    <col min="1027" max="1027" width="13" customWidth="1"/>
    <col min="1028" max="1030" width="14.140625" customWidth="1"/>
    <col min="1031" max="1031" width="6.5703125" customWidth="1"/>
    <col min="1032" max="1032" width="15.42578125" customWidth="1"/>
    <col min="1033" max="1033" width="12.28515625" customWidth="1"/>
    <col min="1034" max="1035" width="13" customWidth="1"/>
    <col min="1036" max="1036" width="7.28515625" customWidth="1"/>
    <col min="1037" max="1038" width="23.140625" customWidth="1"/>
    <col min="1039" max="1039" width="22.85546875" customWidth="1"/>
    <col min="1040" max="1041" width="22.7109375" customWidth="1"/>
    <col min="1042" max="1042" width="22.5703125" customWidth="1"/>
    <col min="1043" max="1043" width="13.5703125" customWidth="1"/>
    <col min="1044" max="1044" width="10.28515625" bestFit="1" customWidth="1"/>
    <col min="1045" max="1045" width="22.7109375" customWidth="1"/>
    <col min="1046" max="1046" width="4.28515625" customWidth="1"/>
    <col min="1047" max="1047" width="8.7109375" customWidth="1"/>
    <col min="1048" max="1048" width="1.5703125" customWidth="1"/>
    <col min="1049" max="1049" width="3" customWidth="1"/>
    <col min="1279" max="1279" width="3.85546875" customWidth="1"/>
    <col min="1280" max="1280" width="41.85546875" customWidth="1"/>
    <col min="1281" max="1281" width="19.140625" customWidth="1"/>
    <col min="1282" max="1282" width="16.7109375" customWidth="1"/>
    <col min="1283" max="1283" width="13" customWidth="1"/>
    <col min="1284" max="1286" width="14.140625" customWidth="1"/>
    <col min="1287" max="1287" width="6.5703125" customWidth="1"/>
    <col min="1288" max="1288" width="15.42578125" customWidth="1"/>
    <col min="1289" max="1289" width="12.28515625" customWidth="1"/>
    <col min="1290" max="1291" width="13" customWidth="1"/>
    <col min="1292" max="1292" width="7.28515625" customWidth="1"/>
    <col min="1293" max="1294" width="23.140625" customWidth="1"/>
    <col min="1295" max="1295" width="22.85546875" customWidth="1"/>
    <col min="1296" max="1297" width="22.7109375" customWidth="1"/>
    <col min="1298" max="1298" width="22.5703125" customWidth="1"/>
    <col min="1299" max="1299" width="13.5703125" customWidth="1"/>
    <col min="1300" max="1300" width="10.28515625" bestFit="1" customWidth="1"/>
    <col min="1301" max="1301" width="22.7109375" customWidth="1"/>
    <col min="1302" max="1302" width="4.28515625" customWidth="1"/>
    <col min="1303" max="1303" width="8.7109375" customWidth="1"/>
    <col min="1304" max="1304" width="1.5703125" customWidth="1"/>
    <col min="1305" max="1305" width="3" customWidth="1"/>
    <col min="1535" max="1535" width="3.85546875" customWidth="1"/>
    <col min="1536" max="1536" width="41.85546875" customWidth="1"/>
    <col min="1537" max="1537" width="19.140625" customWidth="1"/>
    <col min="1538" max="1538" width="16.7109375" customWidth="1"/>
    <col min="1539" max="1539" width="13" customWidth="1"/>
    <col min="1540" max="1542" width="14.140625" customWidth="1"/>
    <col min="1543" max="1543" width="6.5703125" customWidth="1"/>
    <col min="1544" max="1544" width="15.42578125" customWidth="1"/>
    <col min="1545" max="1545" width="12.28515625" customWidth="1"/>
    <col min="1546" max="1547" width="13" customWidth="1"/>
    <col min="1548" max="1548" width="7.28515625" customWidth="1"/>
    <col min="1549" max="1550" width="23.140625" customWidth="1"/>
    <col min="1551" max="1551" width="22.85546875" customWidth="1"/>
    <col min="1552" max="1553" width="22.7109375" customWidth="1"/>
    <col min="1554" max="1554" width="22.5703125" customWidth="1"/>
    <col min="1555" max="1555" width="13.5703125" customWidth="1"/>
    <col min="1556" max="1556" width="10.28515625" bestFit="1" customWidth="1"/>
    <col min="1557" max="1557" width="22.7109375" customWidth="1"/>
    <col min="1558" max="1558" width="4.28515625" customWidth="1"/>
    <col min="1559" max="1559" width="8.7109375" customWidth="1"/>
    <col min="1560" max="1560" width="1.5703125" customWidth="1"/>
    <col min="1561" max="1561" width="3" customWidth="1"/>
    <col min="1791" max="1791" width="3.85546875" customWidth="1"/>
    <col min="1792" max="1792" width="41.85546875" customWidth="1"/>
    <col min="1793" max="1793" width="19.140625" customWidth="1"/>
    <col min="1794" max="1794" width="16.7109375" customWidth="1"/>
    <col min="1795" max="1795" width="13" customWidth="1"/>
    <col min="1796" max="1798" width="14.140625" customWidth="1"/>
    <col min="1799" max="1799" width="6.5703125" customWidth="1"/>
    <col min="1800" max="1800" width="15.42578125" customWidth="1"/>
    <col min="1801" max="1801" width="12.28515625" customWidth="1"/>
    <col min="1802" max="1803" width="13" customWidth="1"/>
    <col min="1804" max="1804" width="7.28515625" customWidth="1"/>
    <col min="1805" max="1806" width="23.140625" customWidth="1"/>
    <col min="1807" max="1807" width="22.85546875" customWidth="1"/>
    <col min="1808" max="1809" width="22.7109375" customWidth="1"/>
    <col min="1810" max="1810" width="22.5703125" customWidth="1"/>
    <col min="1811" max="1811" width="13.5703125" customWidth="1"/>
    <col min="1812" max="1812" width="10.28515625" bestFit="1" customWidth="1"/>
    <col min="1813" max="1813" width="22.7109375" customWidth="1"/>
    <col min="1814" max="1814" width="4.28515625" customWidth="1"/>
    <col min="1815" max="1815" width="8.7109375" customWidth="1"/>
    <col min="1816" max="1816" width="1.5703125" customWidth="1"/>
    <col min="1817" max="1817" width="3" customWidth="1"/>
    <col min="2047" max="2047" width="3.85546875" customWidth="1"/>
    <col min="2048" max="2048" width="41.85546875" customWidth="1"/>
    <col min="2049" max="2049" width="19.140625" customWidth="1"/>
    <col min="2050" max="2050" width="16.7109375" customWidth="1"/>
    <col min="2051" max="2051" width="13" customWidth="1"/>
    <col min="2052" max="2054" width="14.140625" customWidth="1"/>
    <col min="2055" max="2055" width="6.5703125" customWidth="1"/>
    <col min="2056" max="2056" width="15.42578125" customWidth="1"/>
    <col min="2057" max="2057" width="12.28515625" customWidth="1"/>
    <col min="2058" max="2059" width="13" customWidth="1"/>
    <col min="2060" max="2060" width="7.28515625" customWidth="1"/>
    <col min="2061" max="2062" width="23.140625" customWidth="1"/>
    <col min="2063" max="2063" width="22.85546875" customWidth="1"/>
    <col min="2064" max="2065" width="22.7109375" customWidth="1"/>
    <col min="2066" max="2066" width="22.5703125" customWidth="1"/>
    <col min="2067" max="2067" width="13.5703125" customWidth="1"/>
    <col min="2068" max="2068" width="10.28515625" bestFit="1" customWidth="1"/>
    <col min="2069" max="2069" width="22.7109375" customWidth="1"/>
    <col min="2070" max="2070" width="4.28515625" customWidth="1"/>
    <col min="2071" max="2071" width="8.7109375" customWidth="1"/>
    <col min="2072" max="2072" width="1.5703125" customWidth="1"/>
    <col min="2073" max="2073" width="3" customWidth="1"/>
    <col min="2303" max="2303" width="3.85546875" customWidth="1"/>
    <col min="2304" max="2304" width="41.85546875" customWidth="1"/>
    <col min="2305" max="2305" width="19.140625" customWidth="1"/>
    <col min="2306" max="2306" width="16.7109375" customWidth="1"/>
    <col min="2307" max="2307" width="13" customWidth="1"/>
    <col min="2308" max="2310" width="14.140625" customWidth="1"/>
    <col min="2311" max="2311" width="6.5703125" customWidth="1"/>
    <col min="2312" max="2312" width="15.42578125" customWidth="1"/>
    <col min="2313" max="2313" width="12.28515625" customWidth="1"/>
    <col min="2314" max="2315" width="13" customWidth="1"/>
    <col min="2316" max="2316" width="7.28515625" customWidth="1"/>
    <col min="2317" max="2318" width="23.140625" customWidth="1"/>
    <col min="2319" max="2319" width="22.85546875" customWidth="1"/>
    <col min="2320" max="2321" width="22.7109375" customWidth="1"/>
    <col min="2322" max="2322" width="22.5703125" customWidth="1"/>
    <col min="2323" max="2323" width="13.5703125" customWidth="1"/>
    <col min="2324" max="2324" width="10.28515625" bestFit="1" customWidth="1"/>
    <col min="2325" max="2325" width="22.7109375" customWidth="1"/>
    <col min="2326" max="2326" width="4.28515625" customWidth="1"/>
    <col min="2327" max="2327" width="8.7109375" customWidth="1"/>
    <col min="2328" max="2328" width="1.5703125" customWidth="1"/>
    <col min="2329" max="2329" width="3" customWidth="1"/>
    <col min="2559" max="2559" width="3.85546875" customWidth="1"/>
    <col min="2560" max="2560" width="41.85546875" customWidth="1"/>
    <col min="2561" max="2561" width="19.140625" customWidth="1"/>
    <col min="2562" max="2562" width="16.7109375" customWidth="1"/>
    <col min="2563" max="2563" width="13" customWidth="1"/>
    <col min="2564" max="2566" width="14.140625" customWidth="1"/>
    <col min="2567" max="2567" width="6.5703125" customWidth="1"/>
    <col min="2568" max="2568" width="15.42578125" customWidth="1"/>
    <col min="2569" max="2569" width="12.28515625" customWidth="1"/>
    <col min="2570" max="2571" width="13" customWidth="1"/>
    <col min="2572" max="2572" width="7.28515625" customWidth="1"/>
    <col min="2573" max="2574" width="23.140625" customWidth="1"/>
    <col min="2575" max="2575" width="22.85546875" customWidth="1"/>
    <col min="2576" max="2577" width="22.7109375" customWidth="1"/>
    <col min="2578" max="2578" width="22.5703125" customWidth="1"/>
    <col min="2579" max="2579" width="13.5703125" customWidth="1"/>
    <col min="2580" max="2580" width="10.28515625" bestFit="1" customWidth="1"/>
    <col min="2581" max="2581" width="22.7109375" customWidth="1"/>
    <col min="2582" max="2582" width="4.28515625" customWidth="1"/>
    <col min="2583" max="2583" width="8.7109375" customWidth="1"/>
    <col min="2584" max="2584" width="1.5703125" customWidth="1"/>
    <col min="2585" max="2585" width="3" customWidth="1"/>
    <col min="2815" max="2815" width="3.85546875" customWidth="1"/>
    <col min="2816" max="2816" width="41.85546875" customWidth="1"/>
    <col min="2817" max="2817" width="19.140625" customWidth="1"/>
    <col min="2818" max="2818" width="16.7109375" customWidth="1"/>
    <col min="2819" max="2819" width="13" customWidth="1"/>
    <col min="2820" max="2822" width="14.140625" customWidth="1"/>
    <col min="2823" max="2823" width="6.5703125" customWidth="1"/>
    <col min="2824" max="2824" width="15.42578125" customWidth="1"/>
    <col min="2825" max="2825" width="12.28515625" customWidth="1"/>
    <col min="2826" max="2827" width="13" customWidth="1"/>
    <col min="2828" max="2828" width="7.28515625" customWidth="1"/>
    <col min="2829" max="2830" width="23.140625" customWidth="1"/>
    <col min="2831" max="2831" width="22.85546875" customWidth="1"/>
    <col min="2832" max="2833" width="22.7109375" customWidth="1"/>
    <col min="2834" max="2834" width="22.5703125" customWidth="1"/>
    <col min="2835" max="2835" width="13.5703125" customWidth="1"/>
    <col min="2836" max="2836" width="10.28515625" bestFit="1" customWidth="1"/>
    <col min="2837" max="2837" width="22.7109375" customWidth="1"/>
    <col min="2838" max="2838" width="4.28515625" customWidth="1"/>
    <col min="2839" max="2839" width="8.7109375" customWidth="1"/>
    <col min="2840" max="2840" width="1.5703125" customWidth="1"/>
    <col min="2841" max="2841" width="3" customWidth="1"/>
    <col min="3071" max="3071" width="3.85546875" customWidth="1"/>
    <col min="3072" max="3072" width="41.85546875" customWidth="1"/>
    <col min="3073" max="3073" width="19.140625" customWidth="1"/>
    <col min="3074" max="3074" width="16.7109375" customWidth="1"/>
    <col min="3075" max="3075" width="13" customWidth="1"/>
    <col min="3076" max="3078" width="14.140625" customWidth="1"/>
    <col min="3079" max="3079" width="6.5703125" customWidth="1"/>
    <col min="3080" max="3080" width="15.42578125" customWidth="1"/>
    <col min="3081" max="3081" width="12.28515625" customWidth="1"/>
    <col min="3082" max="3083" width="13" customWidth="1"/>
    <col min="3084" max="3084" width="7.28515625" customWidth="1"/>
    <col min="3085" max="3086" width="23.140625" customWidth="1"/>
    <col min="3087" max="3087" width="22.85546875" customWidth="1"/>
    <col min="3088" max="3089" width="22.7109375" customWidth="1"/>
    <col min="3090" max="3090" width="22.5703125" customWidth="1"/>
    <col min="3091" max="3091" width="13.5703125" customWidth="1"/>
    <col min="3092" max="3092" width="10.28515625" bestFit="1" customWidth="1"/>
    <col min="3093" max="3093" width="22.7109375" customWidth="1"/>
    <col min="3094" max="3094" width="4.28515625" customWidth="1"/>
    <col min="3095" max="3095" width="8.7109375" customWidth="1"/>
    <col min="3096" max="3096" width="1.5703125" customWidth="1"/>
    <col min="3097" max="3097" width="3" customWidth="1"/>
    <col min="3327" max="3327" width="3.85546875" customWidth="1"/>
    <col min="3328" max="3328" width="41.85546875" customWidth="1"/>
    <col min="3329" max="3329" width="19.140625" customWidth="1"/>
    <col min="3330" max="3330" width="16.7109375" customWidth="1"/>
    <col min="3331" max="3331" width="13" customWidth="1"/>
    <col min="3332" max="3334" width="14.140625" customWidth="1"/>
    <col min="3335" max="3335" width="6.5703125" customWidth="1"/>
    <col min="3336" max="3336" width="15.42578125" customWidth="1"/>
    <col min="3337" max="3337" width="12.28515625" customWidth="1"/>
    <col min="3338" max="3339" width="13" customWidth="1"/>
    <col min="3340" max="3340" width="7.28515625" customWidth="1"/>
    <col min="3341" max="3342" width="23.140625" customWidth="1"/>
    <col min="3343" max="3343" width="22.85546875" customWidth="1"/>
    <col min="3344" max="3345" width="22.7109375" customWidth="1"/>
    <col min="3346" max="3346" width="22.5703125" customWidth="1"/>
    <col min="3347" max="3347" width="13.5703125" customWidth="1"/>
    <col min="3348" max="3348" width="10.28515625" bestFit="1" customWidth="1"/>
    <col min="3349" max="3349" width="22.7109375" customWidth="1"/>
    <col min="3350" max="3350" width="4.28515625" customWidth="1"/>
    <col min="3351" max="3351" width="8.7109375" customWidth="1"/>
    <col min="3352" max="3352" width="1.5703125" customWidth="1"/>
    <col min="3353" max="3353" width="3" customWidth="1"/>
    <col min="3583" max="3583" width="3.85546875" customWidth="1"/>
    <col min="3584" max="3584" width="41.85546875" customWidth="1"/>
    <col min="3585" max="3585" width="19.140625" customWidth="1"/>
    <col min="3586" max="3586" width="16.7109375" customWidth="1"/>
    <col min="3587" max="3587" width="13" customWidth="1"/>
    <col min="3588" max="3590" width="14.140625" customWidth="1"/>
    <col min="3591" max="3591" width="6.5703125" customWidth="1"/>
    <col min="3592" max="3592" width="15.42578125" customWidth="1"/>
    <col min="3593" max="3593" width="12.28515625" customWidth="1"/>
    <col min="3594" max="3595" width="13" customWidth="1"/>
    <col min="3596" max="3596" width="7.28515625" customWidth="1"/>
    <col min="3597" max="3598" width="23.140625" customWidth="1"/>
    <col min="3599" max="3599" width="22.85546875" customWidth="1"/>
    <col min="3600" max="3601" width="22.7109375" customWidth="1"/>
    <col min="3602" max="3602" width="22.5703125" customWidth="1"/>
    <col min="3603" max="3603" width="13.5703125" customWidth="1"/>
    <col min="3604" max="3604" width="10.28515625" bestFit="1" customWidth="1"/>
    <col min="3605" max="3605" width="22.7109375" customWidth="1"/>
    <col min="3606" max="3606" width="4.28515625" customWidth="1"/>
    <col min="3607" max="3607" width="8.7109375" customWidth="1"/>
    <col min="3608" max="3608" width="1.5703125" customWidth="1"/>
    <col min="3609" max="3609" width="3" customWidth="1"/>
    <col min="3839" max="3839" width="3.85546875" customWidth="1"/>
    <col min="3840" max="3840" width="41.85546875" customWidth="1"/>
    <col min="3841" max="3841" width="19.140625" customWidth="1"/>
    <col min="3842" max="3842" width="16.7109375" customWidth="1"/>
    <col min="3843" max="3843" width="13" customWidth="1"/>
    <col min="3844" max="3846" width="14.140625" customWidth="1"/>
    <col min="3847" max="3847" width="6.5703125" customWidth="1"/>
    <col min="3848" max="3848" width="15.42578125" customWidth="1"/>
    <col min="3849" max="3849" width="12.28515625" customWidth="1"/>
    <col min="3850" max="3851" width="13" customWidth="1"/>
    <col min="3852" max="3852" width="7.28515625" customWidth="1"/>
    <col min="3853" max="3854" width="23.140625" customWidth="1"/>
    <col min="3855" max="3855" width="22.85546875" customWidth="1"/>
    <col min="3856" max="3857" width="22.7109375" customWidth="1"/>
    <col min="3858" max="3858" width="22.5703125" customWidth="1"/>
    <col min="3859" max="3859" width="13.5703125" customWidth="1"/>
    <col min="3860" max="3860" width="10.28515625" bestFit="1" customWidth="1"/>
    <col min="3861" max="3861" width="22.7109375" customWidth="1"/>
    <col min="3862" max="3862" width="4.28515625" customWidth="1"/>
    <col min="3863" max="3863" width="8.7109375" customWidth="1"/>
    <col min="3864" max="3864" width="1.5703125" customWidth="1"/>
    <col min="3865" max="3865" width="3" customWidth="1"/>
    <col min="4095" max="4095" width="3.85546875" customWidth="1"/>
    <col min="4096" max="4096" width="41.85546875" customWidth="1"/>
    <col min="4097" max="4097" width="19.140625" customWidth="1"/>
    <col min="4098" max="4098" width="16.7109375" customWidth="1"/>
    <col min="4099" max="4099" width="13" customWidth="1"/>
    <col min="4100" max="4102" width="14.140625" customWidth="1"/>
    <col min="4103" max="4103" width="6.5703125" customWidth="1"/>
    <col min="4104" max="4104" width="15.42578125" customWidth="1"/>
    <col min="4105" max="4105" width="12.28515625" customWidth="1"/>
    <col min="4106" max="4107" width="13" customWidth="1"/>
    <col min="4108" max="4108" width="7.28515625" customWidth="1"/>
    <col min="4109" max="4110" width="23.140625" customWidth="1"/>
    <col min="4111" max="4111" width="22.85546875" customWidth="1"/>
    <col min="4112" max="4113" width="22.7109375" customWidth="1"/>
    <col min="4114" max="4114" width="22.5703125" customWidth="1"/>
    <col min="4115" max="4115" width="13.5703125" customWidth="1"/>
    <col min="4116" max="4116" width="10.28515625" bestFit="1" customWidth="1"/>
    <col min="4117" max="4117" width="22.7109375" customWidth="1"/>
    <col min="4118" max="4118" width="4.28515625" customWidth="1"/>
    <col min="4119" max="4119" width="8.7109375" customWidth="1"/>
    <col min="4120" max="4120" width="1.5703125" customWidth="1"/>
    <col min="4121" max="4121" width="3" customWidth="1"/>
    <col min="4351" max="4351" width="3.85546875" customWidth="1"/>
    <col min="4352" max="4352" width="41.85546875" customWidth="1"/>
    <col min="4353" max="4353" width="19.140625" customWidth="1"/>
    <col min="4354" max="4354" width="16.7109375" customWidth="1"/>
    <col min="4355" max="4355" width="13" customWidth="1"/>
    <col min="4356" max="4358" width="14.140625" customWidth="1"/>
    <col min="4359" max="4359" width="6.5703125" customWidth="1"/>
    <col min="4360" max="4360" width="15.42578125" customWidth="1"/>
    <col min="4361" max="4361" width="12.28515625" customWidth="1"/>
    <col min="4362" max="4363" width="13" customWidth="1"/>
    <col min="4364" max="4364" width="7.28515625" customWidth="1"/>
    <col min="4365" max="4366" width="23.140625" customWidth="1"/>
    <col min="4367" max="4367" width="22.85546875" customWidth="1"/>
    <col min="4368" max="4369" width="22.7109375" customWidth="1"/>
    <col min="4370" max="4370" width="22.5703125" customWidth="1"/>
    <col min="4371" max="4371" width="13.5703125" customWidth="1"/>
    <col min="4372" max="4372" width="10.28515625" bestFit="1" customWidth="1"/>
    <col min="4373" max="4373" width="22.7109375" customWidth="1"/>
    <col min="4374" max="4374" width="4.28515625" customWidth="1"/>
    <col min="4375" max="4375" width="8.7109375" customWidth="1"/>
    <col min="4376" max="4376" width="1.5703125" customWidth="1"/>
    <col min="4377" max="4377" width="3" customWidth="1"/>
    <col min="4607" max="4607" width="3.85546875" customWidth="1"/>
    <col min="4608" max="4608" width="41.85546875" customWidth="1"/>
    <col min="4609" max="4609" width="19.140625" customWidth="1"/>
    <col min="4610" max="4610" width="16.7109375" customWidth="1"/>
    <col min="4611" max="4611" width="13" customWidth="1"/>
    <col min="4612" max="4614" width="14.140625" customWidth="1"/>
    <col min="4615" max="4615" width="6.5703125" customWidth="1"/>
    <col min="4616" max="4616" width="15.42578125" customWidth="1"/>
    <col min="4617" max="4617" width="12.28515625" customWidth="1"/>
    <col min="4618" max="4619" width="13" customWidth="1"/>
    <col min="4620" max="4620" width="7.28515625" customWidth="1"/>
    <col min="4621" max="4622" width="23.140625" customWidth="1"/>
    <col min="4623" max="4623" width="22.85546875" customWidth="1"/>
    <col min="4624" max="4625" width="22.7109375" customWidth="1"/>
    <col min="4626" max="4626" width="22.5703125" customWidth="1"/>
    <col min="4627" max="4627" width="13.5703125" customWidth="1"/>
    <col min="4628" max="4628" width="10.28515625" bestFit="1" customWidth="1"/>
    <col min="4629" max="4629" width="22.7109375" customWidth="1"/>
    <col min="4630" max="4630" width="4.28515625" customWidth="1"/>
    <col min="4631" max="4631" width="8.7109375" customWidth="1"/>
    <col min="4632" max="4632" width="1.5703125" customWidth="1"/>
    <col min="4633" max="4633" width="3" customWidth="1"/>
    <col min="4863" max="4863" width="3.85546875" customWidth="1"/>
    <col min="4864" max="4864" width="41.85546875" customWidth="1"/>
    <col min="4865" max="4865" width="19.140625" customWidth="1"/>
    <col min="4866" max="4866" width="16.7109375" customWidth="1"/>
    <col min="4867" max="4867" width="13" customWidth="1"/>
    <col min="4868" max="4870" width="14.140625" customWidth="1"/>
    <col min="4871" max="4871" width="6.5703125" customWidth="1"/>
    <col min="4872" max="4872" width="15.42578125" customWidth="1"/>
    <col min="4873" max="4873" width="12.28515625" customWidth="1"/>
    <col min="4874" max="4875" width="13" customWidth="1"/>
    <col min="4876" max="4876" width="7.28515625" customWidth="1"/>
    <col min="4877" max="4878" width="23.140625" customWidth="1"/>
    <col min="4879" max="4879" width="22.85546875" customWidth="1"/>
    <col min="4880" max="4881" width="22.7109375" customWidth="1"/>
    <col min="4882" max="4882" width="22.5703125" customWidth="1"/>
    <col min="4883" max="4883" width="13.5703125" customWidth="1"/>
    <col min="4884" max="4884" width="10.28515625" bestFit="1" customWidth="1"/>
    <col min="4885" max="4885" width="22.7109375" customWidth="1"/>
    <col min="4886" max="4886" width="4.28515625" customWidth="1"/>
    <col min="4887" max="4887" width="8.7109375" customWidth="1"/>
    <col min="4888" max="4888" width="1.5703125" customWidth="1"/>
    <col min="4889" max="4889" width="3" customWidth="1"/>
    <col min="5119" max="5119" width="3.85546875" customWidth="1"/>
    <col min="5120" max="5120" width="41.85546875" customWidth="1"/>
    <col min="5121" max="5121" width="19.140625" customWidth="1"/>
    <col min="5122" max="5122" width="16.7109375" customWidth="1"/>
    <col min="5123" max="5123" width="13" customWidth="1"/>
    <col min="5124" max="5126" width="14.140625" customWidth="1"/>
    <col min="5127" max="5127" width="6.5703125" customWidth="1"/>
    <col min="5128" max="5128" width="15.42578125" customWidth="1"/>
    <col min="5129" max="5129" width="12.28515625" customWidth="1"/>
    <col min="5130" max="5131" width="13" customWidth="1"/>
    <col min="5132" max="5132" width="7.28515625" customWidth="1"/>
    <col min="5133" max="5134" width="23.140625" customWidth="1"/>
    <col min="5135" max="5135" width="22.85546875" customWidth="1"/>
    <col min="5136" max="5137" width="22.7109375" customWidth="1"/>
    <col min="5138" max="5138" width="22.5703125" customWidth="1"/>
    <col min="5139" max="5139" width="13.5703125" customWidth="1"/>
    <col min="5140" max="5140" width="10.28515625" bestFit="1" customWidth="1"/>
    <col min="5141" max="5141" width="22.7109375" customWidth="1"/>
    <col min="5142" max="5142" width="4.28515625" customWidth="1"/>
    <col min="5143" max="5143" width="8.7109375" customWidth="1"/>
    <col min="5144" max="5144" width="1.5703125" customWidth="1"/>
    <col min="5145" max="5145" width="3" customWidth="1"/>
    <col min="5375" max="5375" width="3.85546875" customWidth="1"/>
    <col min="5376" max="5376" width="41.85546875" customWidth="1"/>
    <col min="5377" max="5377" width="19.140625" customWidth="1"/>
    <col min="5378" max="5378" width="16.7109375" customWidth="1"/>
    <col min="5379" max="5379" width="13" customWidth="1"/>
    <col min="5380" max="5382" width="14.140625" customWidth="1"/>
    <col min="5383" max="5383" width="6.5703125" customWidth="1"/>
    <col min="5384" max="5384" width="15.42578125" customWidth="1"/>
    <col min="5385" max="5385" width="12.28515625" customWidth="1"/>
    <col min="5386" max="5387" width="13" customWidth="1"/>
    <col min="5388" max="5388" width="7.28515625" customWidth="1"/>
    <col min="5389" max="5390" width="23.140625" customWidth="1"/>
    <col min="5391" max="5391" width="22.85546875" customWidth="1"/>
    <col min="5392" max="5393" width="22.7109375" customWidth="1"/>
    <col min="5394" max="5394" width="22.5703125" customWidth="1"/>
    <col min="5395" max="5395" width="13.5703125" customWidth="1"/>
    <col min="5396" max="5396" width="10.28515625" bestFit="1" customWidth="1"/>
    <col min="5397" max="5397" width="22.7109375" customWidth="1"/>
    <col min="5398" max="5398" width="4.28515625" customWidth="1"/>
    <col min="5399" max="5399" width="8.7109375" customWidth="1"/>
    <col min="5400" max="5400" width="1.5703125" customWidth="1"/>
    <col min="5401" max="5401" width="3" customWidth="1"/>
    <col min="5631" max="5631" width="3.85546875" customWidth="1"/>
    <col min="5632" max="5632" width="41.85546875" customWidth="1"/>
    <col min="5633" max="5633" width="19.140625" customWidth="1"/>
    <col min="5634" max="5634" width="16.7109375" customWidth="1"/>
    <col min="5635" max="5635" width="13" customWidth="1"/>
    <col min="5636" max="5638" width="14.140625" customWidth="1"/>
    <col min="5639" max="5639" width="6.5703125" customWidth="1"/>
    <col min="5640" max="5640" width="15.42578125" customWidth="1"/>
    <col min="5641" max="5641" width="12.28515625" customWidth="1"/>
    <col min="5642" max="5643" width="13" customWidth="1"/>
    <col min="5644" max="5644" width="7.28515625" customWidth="1"/>
    <col min="5645" max="5646" width="23.140625" customWidth="1"/>
    <col min="5647" max="5647" width="22.85546875" customWidth="1"/>
    <col min="5648" max="5649" width="22.7109375" customWidth="1"/>
    <col min="5650" max="5650" width="22.5703125" customWidth="1"/>
    <col min="5651" max="5651" width="13.5703125" customWidth="1"/>
    <col min="5652" max="5652" width="10.28515625" bestFit="1" customWidth="1"/>
    <col min="5653" max="5653" width="22.7109375" customWidth="1"/>
    <col min="5654" max="5654" width="4.28515625" customWidth="1"/>
    <col min="5655" max="5655" width="8.7109375" customWidth="1"/>
    <col min="5656" max="5656" width="1.5703125" customWidth="1"/>
    <col min="5657" max="5657" width="3" customWidth="1"/>
    <col min="5887" max="5887" width="3.85546875" customWidth="1"/>
    <col min="5888" max="5888" width="41.85546875" customWidth="1"/>
    <col min="5889" max="5889" width="19.140625" customWidth="1"/>
    <col min="5890" max="5890" width="16.7109375" customWidth="1"/>
    <col min="5891" max="5891" width="13" customWidth="1"/>
    <col min="5892" max="5894" width="14.140625" customWidth="1"/>
    <col min="5895" max="5895" width="6.5703125" customWidth="1"/>
    <col min="5896" max="5896" width="15.42578125" customWidth="1"/>
    <col min="5897" max="5897" width="12.28515625" customWidth="1"/>
    <col min="5898" max="5899" width="13" customWidth="1"/>
    <col min="5900" max="5900" width="7.28515625" customWidth="1"/>
    <col min="5901" max="5902" width="23.140625" customWidth="1"/>
    <col min="5903" max="5903" width="22.85546875" customWidth="1"/>
    <col min="5904" max="5905" width="22.7109375" customWidth="1"/>
    <col min="5906" max="5906" width="22.5703125" customWidth="1"/>
    <col min="5907" max="5907" width="13.5703125" customWidth="1"/>
    <col min="5908" max="5908" width="10.28515625" bestFit="1" customWidth="1"/>
    <col min="5909" max="5909" width="22.7109375" customWidth="1"/>
    <col min="5910" max="5910" width="4.28515625" customWidth="1"/>
    <col min="5911" max="5911" width="8.7109375" customWidth="1"/>
    <col min="5912" max="5912" width="1.5703125" customWidth="1"/>
    <col min="5913" max="5913" width="3" customWidth="1"/>
    <col min="6143" max="6143" width="3.85546875" customWidth="1"/>
    <col min="6144" max="6144" width="41.85546875" customWidth="1"/>
    <col min="6145" max="6145" width="19.140625" customWidth="1"/>
    <col min="6146" max="6146" width="16.7109375" customWidth="1"/>
    <col min="6147" max="6147" width="13" customWidth="1"/>
    <col min="6148" max="6150" width="14.140625" customWidth="1"/>
    <col min="6151" max="6151" width="6.5703125" customWidth="1"/>
    <col min="6152" max="6152" width="15.42578125" customWidth="1"/>
    <col min="6153" max="6153" width="12.28515625" customWidth="1"/>
    <col min="6154" max="6155" width="13" customWidth="1"/>
    <col min="6156" max="6156" width="7.28515625" customWidth="1"/>
    <col min="6157" max="6158" width="23.140625" customWidth="1"/>
    <col min="6159" max="6159" width="22.85546875" customWidth="1"/>
    <col min="6160" max="6161" width="22.7109375" customWidth="1"/>
    <col min="6162" max="6162" width="22.5703125" customWidth="1"/>
    <col min="6163" max="6163" width="13.5703125" customWidth="1"/>
    <col min="6164" max="6164" width="10.28515625" bestFit="1" customWidth="1"/>
    <col min="6165" max="6165" width="22.7109375" customWidth="1"/>
    <col min="6166" max="6166" width="4.28515625" customWidth="1"/>
    <col min="6167" max="6167" width="8.7109375" customWidth="1"/>
    <col min="6168" max="6168" width="1.5703125" customWidth="1"/>
    <col min="6169" max="6169" width="3" customWidth="1"/>
    <col min="6399" max="6399" width="3.85546875" customWidth="1"/>
    <col min="6400" max="6400" width="41.85546875" customWidth="1"/>
    <col min="6401" max="6401" width="19.140625" customWidth="1"/>
    <col min="6402" max="6402" width="16.7109375" customWidth="1"/>
    <col min="6403" max="6403" width="13" customWidth="1"/>
    <col min="6404" max="6406" width="14.140625" customWidth="1"/>
    <col min="6407" max="6407" width="6.5703125" customWidth="1"/>
    <col min="6408" max="6408" width="15.42578125" customWidth="1"/>
    <col min="6409" max="6409" width="12.28515625" customWidth="1"/>
    <col min="6410" max="6411" width="13" customWidth="1"/>
    <col min="6412" max="6412" width="7.28515625" customWidth="1"/>
    <col min="6413" max="6414" width="23.140625" customWidth="1"/>
    <col min="6415" max="6415" width="22.85546875" customWidth="1"/>
    <col min="6416" max="6417" width="22.7109375" customWidth="1"/>
    <col min="6418" max="6418" width="22.5703125" customWidth="1"/>
    <col min="6419" max="6419" width="13.5703125" customWidth="1"/>
    <col min="6420" max="6420" width="10.28515625" bestFit="1" customWidth="1"/>
    <col min="6421" max="6421" width="22.7109375" customWidth="1"/>
    <col min="6422" max="6422" width="4.28515625" customWidth="1"/>
    <col min="6423" max="6423" width="8.7109375" customWidth="1"/>
    <col min="6424" max="6424" width="1.5703125" customWidth="1"/>
    <col min="6425" max="6425" width="3" customWidth="1"/>
    <col min="6655" max="6655" width="3.85546875" customWidth="1"/>
    <col min="6656" max="6656" width="41.85546875" customWidth="1"/>
    <col min="6657" max="6657" width="19.140625" customWidth="1"/>
    <col min="6658" max="6658" width="16.7109375" customWidth="1"/>
    <col min="6659" max="6659" width="13" customWidth="1"/>
    <col min="6660" max="6662" width="14.140625" customWidth="1"/>
    <col min="6663" max="6663" width="6.5703125" customWidth="1"/>
    <col min="6664" max="6664" width="15.42578125" customWidth="1"/>
    <col min="6665" max="6665" width="12.28515625" customWidth="1"/>
    <col min="6666" max="6667" width="13" customWidth="1"/>
    <col min="6668" max="6668" width="7.28515625" customWidth="1"/>
    <col min="6669" max="6670" width="23.140625" customWidth="1"/>
    <col min="6671" max="6671" width="22.85546875" customWidth="1"/>
    <col min="6672" max="6673" width="22.7109375" customWidth="1"/>
    <col min="6674" max="6674" width="22.5703125" customWidth="1"/>
    <col min="6675" max="6675" width="13.5703125" customWidth="1"/>
    <col min="6676" max="6676" width="10.28515625" bestFit="1" customWidth="1"/>
    <col min="6677" max="6677" width="22.7109375" customWidth="1"/>
    <col min="6678" max="6678" width="4.28515625" customWidth="1"/>
    <col min="6679" max="6679" width="8.7109375" customWidth="1"/>
    <col min="6680" max="6680" width="1.5703125" customWidth="1"/>
    <col min="6681" max="6681" width="3" customWidth="1"/>
    <col min="6911" max="6911" width="3.85546875" customWidth="1"/>
    <col min="6912" max="6912" width="41.85546875" customWidth="1"/>
    <col min="6913" max="6913" width="19.140625" customWidth="1"/>
    <col min="6914" max="6914" width="16.7109375" customWidth="1"/>
    <col min="6915" max="6915" width="13" customWidth="1"/>
    <col min="6916" max="6918" width="14.140625" customWidth="1"/>
    <col min="6919" max="6919" width="6.5703125" customWidth="1"/>
    <col min="6920" max="6920" width="15.42578125" customWidth="1"/>
    <col min="6921" max="6921" width="12.28515625" customWidth="1"/>
    <col min="6922" max="6923" width="13" customWidth="1"/>
    <col min="6924" max="6924" width="7.28515625" customWidth="1"/>
    <col min="6925" max="6926" width="23.140625" customWidth="1"/>
    <col min="6927" max="6927" width="22.85546875" customWidth="1"/>
    <col min="6928" max="6929" width="22.7109375" customWidth="1"/>
    <col min="6930" max="6930" width="22.5703125" customWidth="1"/>
    <col min="6931" max="6931" width="13.5703125" customWidth="1"/>
    <col min="6932" max="6932" width="10.28515625" bestFit="1" customWidth="1"/>
    <col min="6933" max="6933" width="22.7109375" customWidth="1"/>
    <col min="6934" max="6934" width="4.28515625" customWidth="1"/>
    <col min="6935" max="6935" width="8.7109375" customWidth="1"/>
    <col min="6936" max="6936" width="1.5703125" customWidth="1"/>
    <col min="6937" max="6937" width="3" customWidth="1"/>
    <col min="7167" max="7167" width="3.85546875" customWidth="1"/>
    <col min="7168" max="7168" width="41.85546875" customWidth="1"/>
    <col min="7169" max="7169" width="19.140625" customWidth="1"/>
    <col min="7170" max="7170" width="16.7109375" customWidth="1"/>
    <col min="7171" max="7171" width="13" customWidth="1"/>
    <col min="7172" max="7174" width="14.140625" customWidth="1"/>
    <col min="7175" max="7175" width="6.5703125" customWidth="1"/>
    <col min="7176" max="7176" width="15.42578125" customWidth="1"/>
    <col min="7177" max="7177" width="12.28515625" customWidth="1"/>
    <col min="7178" max="7179" width="13" customWidth="1"/>
    <col min="7180" max="7180" width="7.28515625" customWidth="1"/>
    <col min="7181" max="7182" width="23.140625" customWidth="1"/>
    <col min="7183" max="7183" width="22.85546875" customWidth="1"/>
    <col min="7184" max="7185" width="22.7109375" customWidth="1"/>
    <col min="7186" max="7186" width="22.5703125" customWidth="1"/>
    <col min="7187" max="7187" width="13.5703125" customWidth="1"/>
    <col min="7188" max="7188" width="10.28515625" bestFit="1" customWidth="1"/>
    <col min="7189" max="7189" width="22.7109375" customWidth="1"/>
    <col min="7190" max="7190" width="4.28515625" customWidth="1"/>
    <col min="7191" max="7191" width="8.7109375" customWidth="1"/>
    <col min="7192" max="7192" width="1.5703125" customWidth="1"/>
    <col min="7193" max="7193" width="3" customWidth="1"/>
    <col min="7423" max="7423" width="3.85546875" customWidth="1"/>
    <col min="7424" max="7424" width="41.85546875" customWidth="1"/>
    <col min="7425" max="7425" width="19.140625" customWidth="1"/>
    <col min="7426" max="7426" width="16.7109375" customWidth="1"/>
    <col min="7427" max="7427" width="13" customWidth="1"/>
    <col min="7428" max="7430" width="14.140625" customWidth="1"/>
    <col min="7431" max="7431" width="6.5703125" customWidth="1"/>
    <col min="7432" max="7432" width="15.42578125" customWidth="1"/>
    <col min="7433" max="7433" width="12.28515625" customWidth="1"/>
    <col min="7434" max="7435" width="13" customWidth="1"/>
    <col min="7436" max="7436" width="7.28515625" customWidth="1"/>
    <col min="7437" max="7438" width="23.140625" customWidth="1"/>
    <col min="7439" max="7439" width="22.85546875" customWidth="1"/>
    <col min="7440" max="7441" width="22.7109375" customWidth="1"/>
    <col min="7442" max="7442" width="22.5703125" customWidth="1"/>
    <col min="7443" max="7443" width="13.5703125" customWidth="1"/>
    <col min="7444" max="7444" width="10.28515625" bestFit="1" customWidth="1"/>
    <col min="7445" max="7445" width="22.7109375" customWidth="1"/>
    <col min="7446" max="7446" width="4.28515625" customWidth="1"/>
    <col min="7447" max="7447" width="8.7109375" customWidth="1"/>
    <col min="7448" max="7448" width="1.5703125" customWidth="1"/>
    <col min="7449" max="7449" width="3" customWidth="1"/>
    <col min="7679" max="7679" width="3.85546875" customWidth="1"/>
    <col min="7680" max="7680" width="41.85546875" customWidth="1"/>
    <col min="7681" max="7681" width="19.140625" customWidth="1"/>
    <col min="7682" max="7682" width="16.7109375" customWidth="1"/>
    <col min="7683" max="7683" width="13" customWidth="1"/>
    <col min="7684" max="7686" width="14.140625" customWidth="1"/>
    <col min="7687" max="7687" width="6.5703125" customWidth="1"/>
    <col min="7688" max="7688" width="15.42578125" customWidth="1"/>
    <col min="7689" max="7689" width="12.28515625" customWidth="1"/>
    <col min="7690" max="7691" width="13" customWidth="1"/>
    <col min="7692" max="7692" width="7.28515625" customWidth="1"/>
    <col min="7693" max="7694" width="23.140625" customWidth="1"/>
    <col min="7695" max="7695" width="22.85546875" customWidth="1"/>
    <col min="7696" max="7697" width="22.7109375" customWidth="1"/>
    <col min="7698" max="7698" width="22.5703125" customWidth="1"/>
    <col min="7699" max="7699" width="13.5703125" customWidth="1"/>
    <col min="7700" max="7700" width="10.28515625" bestFit="1" customWidth="1"/>
    <col min="7701" max="7701" width="22.7109375" customWidth="1"/>
    <col min="7702" max="7702" width="4.28515625" customWidth="1"/>
    <col min="7703" max="7703" width="8.7109375" customWidth="1"/>
    <col min="7704" max="7704" width="1.5703125" customWidth="1"/>
    <col min="7705" max="7705" width="3" customWidth="1"/>
    <col min="7935" max="7935" width="3.85546875" customWidth="1"/>
    <col min="7936" max="7936" width="41.85546875" customWidth="1"/>
    <col min="7937" max="7937" width="19.140625" customWidth="1"/>
    <col min="7938" max="7938" width="16.7109375" customWidth="1"/>
    <col min="7939" max="7939" width="13" customWidth="1"/>
    <col min="7940" max="7942" width="14.140625" customWidth="1"/>
    <col min="7943" max="7943" width="6.5703125" customWidth="1"/>
    <col min="7944" max="7944" width="15.42578125" customWidth="1"/>
    <col min="7945" max="7945" width="12.28515625" customWidth="1"/>
    <col min="7946" max="7947" width="13" customWidth="1"/>
    <col min="7948" max="7948" width="7.28515625" customWidth="1"/>
    <col min="7949" max="7950" width="23.140625" customWidth="1"/>
    <col min="7951" max="7951" width="22.85546875" customWidth="1"/>
    <col min="7952" max="7953" width="22.7109375" customWidth="1"/>
    <col min="7954" max="7954" width="22.5703125" customWidth="1"/>
    <col min="7955" max="7955" width="13.5703125" customWidth="1"/>
    <col min="7956" max="7956" width="10.28515625" bestFit="1" customWidth="1"/>
    <col min="7957" max="7957" width="22.7109375" customWidth="1"/>
    <col min="7958" max="7958" width="4.28515625" customWidth="1"/>
    <col min="7959" max="7959" width="8.7109375" customWidth="1"/>
    <col min="7960" max="7960" width="1.5703125" customWidth="1"/>
    <col min="7961" max="7961" width="3" customWidth="1"/>
    <col min="8191" max="8191" width="3.85546875" customWidth="1"/>
    <col min="8192" max="8192" width="41.85546875" customWidth="1"/>
    <col min="8193" max="8193" width="19.140625" customWidth="1"/>
    <col min="8194" max="8194" width="16.7109375" customWidth="1"/>
    <col min="8195" max="8195" width="13" customWidth="1"/>
    <col min="8196" max="8198" width="14.140625" customWidth="1"/>
    <col min="8199" max="8199" width="6.5703125" customWidth="1"/>
    <col min="8200" max="8200" width="15.42578125" customWidth="1"/>
    <col min="8201" max="8201" width="12.28515625" customWidth="1"/>
    <col min="8202" max="8203" width="13" customWidth="1"/>
    <col min="8204" max="8204" width="7.28515625" customWidth="1"/>
    <col min="8205" max="8206" width="23.140625" customWidth="1"/>
    <col min="8207" max="8207" width="22.85546875" customWidth="1"/>
    <col min="8208" max="8209" width="22.7109375" customWidth="1"/>
    <col min="8210" max="8210" width="22.5703125" customWidth="1"/>
    <col min="8211" max="8211" width="13.5703125" customWidth="1"/>
    <col min="8212" max="8212" width="10.28515625" bestFit="1" customWidth="1"/>
    <col min="8213" max="8213" width="22.7109375" customWidth="1"/>
    <col min="8214" max="8214" width="4.28515625" customWidth="1"/>
    <col min="8215" max="8215" width="8.7109375" customWidth="1"/>
    <col min="8216" max="8216" width="1.5703125" customWidth="1"/>
    <col min="8217" max="8217" width="3" customWidth="1"/>
    <col min="8447" max="8447" width="3.85546875" customWidth="1"/>
    <col min="8448" max="8448" width="41.85546875" customWidth="1"/>
    <col min="8449" max="8449" width="19.140625" customWidth="1"/>
    <col min="8450" max="8450" width="16.7109375" customWidth="1"/>
    <col min="8451" max="8451" width="13" customWidth="1"/>
    <col min="8452" max="8454" width="14.140625" customWidth="1"/>
    <col min="8455" max="8455" width="6.5703125" customWidth="1"/>
    <col min="8456" max="8456" width="15.42578125" customWidth="1"/>
    <col min="8457" max="8457" width="12.28515625" customWidth="1"/>
    <col min="8458" max="8459" width="13" customWidth="1"/>
    <col min="8460" max="8460" width="7.28515625" customWidth="1"/>
    <col min="8461" max="8462" width="23.140625" customWidth="1"/>
    <col min="8463" max="8463" width="22.85546875" customWidth="1"/>
    <col min="8464" max="8465" width="22.7109375" customWidth="1"/>
    <col min="8466" max="8466" width="22.5703125" customWidth="1"/>
    <col min="8467" max="8467" width="13.5703125" customWidth="1"/>
    <col min="8468" max="8468" width="10.28515625" bestFit="1" customWidth="1"/>
    <col min="8469" max="8469" width="22.7109375" customWidth="1"/>
    <col min="8470" max="8470" width="4.28515625" customWidth="1"/>
    <col min="8471" max="8471" width="8.7109375" customWidth="1"/>
    <col min="8472" max="8472" width="1.5703125" customWidth="1"/>
    <col min="8473" max="8473" width="3" customWidth="1"/>
    <col min="8703" max="8703" width="3.85546875" customWidth="1"/>
    <col min="8704" max="8704" width="41.85546875" customWidth="1"/>
    <col min="8705" max="8705" width="19.140625" customWidth="1"/>
    <col min="8706" max="8706" width="16.7109375" customWidth="1"/>
    <col min="8707" max="8707" width="13" customWidth="1"/>
    <col min="8708" max="8710" width="14.140625" customWidth="1"/>
    <col min="8711" max="8711" width="6.5703125" customWidth="1"/>
    <col min="8712" max="8712" width="15.42578125" customWidth="1"/>
    <col min="8713" max="8713" width="12.28515625" customWidth="1"/>
    <col min="8714" max="8715" width="13" customWidth="1"/>
    <col min="8716" max="8716" width="7.28515625" customWidth="1"/>
    <col min="8717" max="8718" width="23.140625" customWidth="1"/>
    <col min="8719" max="8719" width="22.85546875" customWidth="1"/>
    <col min="8720" max="8721" width="22.7109375" customWidth="1"/>
    <col min="8722" max="8722" width="22.5703125" customWidth="1"/>
    <col min="8723" max="8723" width="13.5703125" customWidth="1"/>
    <col min="8724" max="8724" width="10.28515625" bestFit="1" customWidth="1"/>
    <col min="8725" max="8725" width="22.7109375" customWidth="1"/>
    <col min="8726" max="8726" width="4.28515625" customWidth="1"/>
    <col min="8727" max="8727" width="8.7109375" customWidth="1"/>
    <col min="8728" max="8728" width="1.5703125" customWidth="1"/>
    <col min="8729" max="8729" width="3" customWidth="1"/>
    <col min="8959" max="8959" width="3.85546875" customWidth="1"/>
    <col min="8960" max="8960" width="41.85546875" customWidth="1"/>
    <col min="8961" max="8961" width="19.140625" customWidth="1"/>
    <col min="8962" max="8962" width="16.7109375" customWidth="1"/>
    <col min="8963" max="8963" width="13" customWidth="1"/>
    <col min="8964" max="8966" width="14.140625" customWidth="1"/>
    <col min="8967" max="8967" width="6.5703125" customWidth="1"/>
    <col min="8968" max="8968" width="15.42578125" customWidth="1"/>
    <col min="8969" max="8969" width="12.28515625" customWidth="1"/>
    <col min="8970" max="8971" width="13" customWidth="1"/>
    <col min="8972" max="8972" width="7.28515625" customWidth="1"/>
    <col min="8973" max="8974" width="23.140625" customWidth="1"/>
    <col min="8975" max="8975" width="22.85546875" customWidth="1"/>
    <col min="8976" max="8977" width="22.7109375" customWidth="1"/>
    <col min="8978" max="8978" width="22.5703125" customWidth="1"/>
    <col min="8979" max="8979" width="13.5703125" customWidth="1"/>
    <col min="8980" max="8980" width="10.28515625" bestFit="1" customWidth="1"/>
    <col min="8981" max="8981" width="22.7109375" customWidth="1"/>
    <col min="8982" max="8982" width="4.28515625" customWidth="1"/>
    <col min="8983" max="8983" width="8.7109375" customWidth="1"/>
    <col min="8984" max="8984" width="1.5703125" customWidth="1"/>
    <col min="8985" max="8985" width="3" customWidth="1"/>
    <col min="9215" max="9215" width="3.85546875" customWidth="1"/>
    <col min="9216" max="9216" width="41.85546875" customWidth="1"/>
    <col min="9217" max="9217" width="19.140625" customWidth="1"/>
    <col min="9218" max="9218" width="16.7109375" customWidth="1"/>
    <col min="9219" max="9219" width="13" customWidth="1"/>
    <col min="9220" max="9222" width="14.140625" customWidth="1"/>
    <col min="9223" max="9223" width="6.5703125" customWidth="1"/>
    <col min="9224" max="9224" width="15.42578125" customWidth="1"/>
    <col min="9225" max="9225" width="12.28515625" customWidth="1"/>
    <col min="9226" max="9227" width="13" customWidth="1"/>
    <col min="9228" max="9228" width="7.28515625" customWidth="1"/>
    <col min="9229" max="9230" width="23.140625" customWidth="1"/>
    <col min="9231" max="9231" width="22.85546875" customWidth="1"/>
    <col min="9232" max="9233" width="22.7109375" customWidth="1"/>
    <col min="9234" max="9234" width="22.5703125" customWidth="1"/>
    <col min="9235" max="9235" width="13.5703125" customWidth="1"/>
    <col min="9236" max="9236" width="10.28515625" bestFit="1" customWidth="1"/>
    <col min="9237" max="9237" width="22.7109375" customWidth="1"/>
    <col min="9238" max="9238" width="4.28515625" customWidth="1"/>
    <col min="9239" max="9239" width="8.7109375" customWidth="1"/>
    <col min="9240" max="9240" width="1.5703125" customWidth="1"/>
    <col min="9241" max="9241" width="3" customWidth="1"/>
    <col min="9471" max="9471" width="3.85546875" customWidth="1"/>
    <col min="9472" max="9472" width="41.85546875" customWidth="1"/>
    <col min="9473" max="9473" width="19.140625" customWidth="1"/>
    <col min="9474" max="9474" width="16.7109375" customWidth="1"/>
    <col min="9475" max="9475" width="13" customWidth="1"/>
    <col min="9476" max="9478" width="14.140625" customWidth="1"/>
    <col min="9479" max="9479" width="6.5703125" customWidth="1"/>
    <col min="9480" max="9480" width="15.42578125" customWidth="1"/>
    <col min="9481" max="9481" width="12.28515625" customWidth="1"/>
    <col min="9482" max="9483" width="13" customWidth="1"/>
    <col min="9484" max="9484" width="7.28515625" customWidth="1"/>
    <col min="9485" max="9486" width="23.140625" customWidth="1"/>
    <col min="9487" max="9487" width="22.85546875" customWidth="1"/>
    <col min="9488" max="9489" width="22.7109375" customWidth="1"/>
    <col min="9490" max="9490" width="22.5703125" customWidth="1"/>
    <col min="9491" max="9491" width="13.5703125" customWidth="1"/>
    <col min="9492" max="9492" width="10.28515625" bestFit="1" customWidth="1"/>
    <col min="9493" max="9493" width="22.7109375" customWidth="1"/>
    <col min="9494" max="9494" width="4.28515625" customWidth="1"/>
    <col min="9495" max="9495" width="8.7109375" customWidth="1"/>
    <col min="9496" max="9496" width="1.5703125" customWidth="1"/>
    <col min="9497" max="9497" width="3" customWidth="1"/>
    <col min="9727" max="9727" width="3.85546875" customWidth="1"/>
    <col min="9728" max="9728" width="41.85546875" customWidth="1"/>
    <col min="9729" max="9729" width="19.140625" customWidth="1"/>
    <col min="9730" max="9730" width="16.7109375" customWidth="1"/>
    <col min="9731" max="9731" width="13" customWidth="1"/>
    <col min="9732" max="9734" width="14.140625" customWidth="1"/>
    <col min="9735" max="9735" width="6.5703125" customWidth="1"/>
    <col min="9736" max="9736" width="15.42578125" customWidth="1"/>
    <col min="9737" max="9737" width="12.28515625" customWidth="1"/>
    <col min="9738" max="9739" width="13" customWidth="1"/>
    <col min="9740" max="9740" width="7.28515625" customWidth="1"/>
    <col min="9741" max="9742" width="23.140625" customWidth="1"/>
    <col min="9743" max="9743" width="22.85546875" customWidth="1"/>
    <col min="9744" max="9745" width="22.7109375" customWidth="1"/>
    <col min="9746" max="9746" width="22.5703125" customWidth="1"/>
    <col min="9747" max="9747" width="13.5703125" customWidth="1"/>
    <col min="9748" max="9748" width="10.28515625" bestFit="1" customWidth="1"/>
    <col min="9749" max="9749" width="22.7109375" customWidth="1"/>
    <col min="9750" max="9750" width="4.28515625" customWidth="1"/>
    <col min="9751" max="9751" width="8.7109375" customWidth="1"/>
    <col min="9752" max="9752" width="1.5703125" customWidth="1"/>
    <col min="9753" max="9753" width="3" customWidth="1"/>
    <col min="9983" max="9983" width="3.85546875" customWidth="1"/>
    <col min="9984" max="9984" width="41.85546875" customWidth="1"/>
    <col min="9985" max="9985" width="19.140625" customWidth="1"/>
    <col min="9986" max="9986" width="16.7109375" customWidth="1"/>
    <col min="9987" max="9987" width="13" customWidth="1"/>
    <col min="9988" max="9990" width="14.140625" customWidth="1"/>
    <col min="9991" max="9991" width="6.5703125" customWidth="1"/>
    <col min="9992" max="9992" width="15.42578125" customWidth="1"/>
    <col min="9993" max="9993" width="12.28515625" customWidth="1"/>
    <col min="9994" max="9995" width="13" customWidth="1"/>
    <col min="9996" max="9996" width="7.28515625" customWidth="1"/>
    <col min="9997" max="9998" width="23.140625" customWidth="1"/>
    <col min="9999" max="9999" width="22.85546875" customWidth="1"/>
    <col min="10000" max="10001" width="22.7109375" customWidth="1"/>
    <col min="10002" max="10002" width="22.5703125" customWidth="1"/>
    <col min="10003" max="10003" width="13.5703125" customWidth="1"/>
    <col min="10004" max="10004" width="10.28515625" bestFit="1" customWidth="1"/>
    <col min="10005" max="10005" width="22.7109375" customWidth="1"/>
    <col min="10006" max="10006" width="4.28515625" customWidth="1"/>
    <col min="10007" max="10007" width="8.7109375" customWidth="1"/>
    <col min="10008" max="10008" width="1.5703125" customWidth="1"/>
    <col min="10009" max="10009" width="3" customWidth="1"/>
    <col min="10239" max="10239" width="3.85546875" customWidth="1"/>
    <col min="10240" max="10240" width="41.85546875" customWidth="1"/>
    <col min="10241" max="10241" width="19.140625" customWidth="1"/>
    <col min="10242" max="10242" width="16.7109375" customWidth="1"/>
    <col min="10243" max="10243" width="13" customWidth="1"/>
    <col min="10244" max="10246" width="14.140625" customWidth="1"/>
    <col min="10247" max="10247" width="6.5703125" customWidth="1"/>
    <col min="10248" max="10248" width="15.42578125" customWidth="1"/>
    <col min="10249" max="10249" width="12.28515625" customWidth="1"/>
    <col min="10250" max="10251" width="13" customWidth="1"/>
    <col min="10252" max="10252" width="7.28515625" customWidth="1"/>
    <col min="10253" max="10254" width="23.140625" customWidth="1"/>
    <col min="10255" max="10255" width="22.85546875" customWidth="1"/>
    <col min="10256" max="10257" width="22.7109375" customWidth="1"/>
    <col min="10258" max="10258" width="22.5703125" customWidth="1"/>
    <col min="10259" max="10259" width="13.5703125" customWidth="1"/>
    <col min="10260" max="10260" width="10.28515625" bestFit="1" customWidth="1"/>
    <col min="10261" max="10261" width="22.7109375" customWidth="1"/>
    <col min="10262" max="10262" width="4.28515625" customWidth="1"/>
    <col min="10263" max="10263" width="8.7109375" customWidth="1"/>
    <col min="10264" max="10264" width="1.5703125" customWidth="1"/>
    <col min="10265" max="10265" width="3" customWidth="1"/>
    <col min="10495" max="10495" width="3.85546875" customWidth="1"/>
    <col min="10496" max="10496" width="41.85546875" customWidth="1"/>
    <col min="10497" max="10497" width="19.140625" customWidth="1"/>
    <col min="10498" max="10498" width="16.7109375" customWidth="1"/>
    <col min="10499" max="10499" width="13" customWidth="1"/>
    <col min="10500" max="10502" width="14.140625" customWidth="1"/>
    <col min="10503" max="10503" width="6.5703125" customWidth="1"/>
    <col min="10504" max="10504" width="15.42578125" customWidth="1"/>
    <col min="10505" max="10505" width="12.28515625" customWidth="1"/>
    <col min="10506" max="10507" width="13" customWidth="1"/>
    <col min="10508" max="10508" width="7.28515625" customWidth="1"/>
    <col min="10509" max="10510" width="23.140625" customWidth="1"/>
    <col min="10511" max="10511" width="22.85546875" customWidth="1"/>
    <col min="10512" max="10513" width="22.7109375" customWidth="1"/>
    <col min="10514" max="10514" width="22.5703125" customWidth="1"/>
    <col min="10515" max="10515" width="13.5703125" customWidth="1"/>
    <col min="10516" max="10516" width="10.28515625" bestFit="1" customWidth="1"/>
    <col min="10517" max="10517" width="22.7109375" customWidth="1"/>
    <col min="10518" max="10518" width="4.28515625" customWidth="1"/>
    <col min="10519" max="10519" width="8.7109375" customWidth="1"/>
    <col min="10520" max="10520" width="1.5703125" customWidth="1"/>
    <col min="10521" max="10521" width="3" customWidth="1"/>
    <col min="10751" max="10751" width="3.85546875" customWidth="1"/>
    <col min="10752" max="10752" width="41.85546875" customWidth="1"/>
    <col min="10753" max="10753" width="19.140625" customWidth="1"/>
    <col min="10754" max="10754" width="16.7109375" customWidth="1"/>
    <col min="10755" max="10755" width="13" customWidth="1"/>
    <col min="10756" max="10758" width="14.140625" customWidth="1"/>
    <col min="10759" max="10759" width="6.5703125" customWidth="1"/>
    <col min="10760" max="10760" width="15.42578125" customWidth="1"/>
    <col min="10761" max="10761" width="12.28515625" customWidth="1"/>
    <col min="10762" max="10763" width="13" customWidth="1"/>
    <col min="10764" max="10764" width="7.28515625" customWidth="1"/>
    <col min="10765" max="10766" width="23.140625" customWidth="1"/>
    <col min="10767" max="10767" width="22.85546875" customWidth="1"/>
    <col min="10768" max="10769" width="22.7109375" customWidth="1"/>
    <col min="10770" max="10770" width="22.5703125" customWidth="1"/>
    <col min="10771" max="10771" width="13.5703125" customWidth="1"/>
    <col min="10772" max="10772" width="10.28515625" bestFit="1" customWidth="1"/>
    <col min="10773" max="10773" width="22.7109375" customWidth="1"/>
    <col min="10774" max="10774" width="4.28515625" customWidth="1"/>
    <col min="10775" max="10775" width="8.7109375" customWidth="1"/>
    <col min="10776" max="10776" width="1.5703125" customWidth="1"/>
    <col min="10777" max="10777" width="3" customWidth="1"/>
    <col min="11007" max="11007" width="3.85546875" customWidth="1"/>
    <col min="11008" max="11008" width="41.85546875" customWidth="1"/>
    <col min="11009" max="11009" width="19.140625" customWidth="1"/>
    <col min="11010" max="11010" width="16.7109375" customWidth="1"/>
    <col min="11011" max="11011" width="13" customWidth="1"/>
    <col min="11012" max="11014" width="14.140625" customWidth="1"/>
    <col min="11015" max="11015" width="6.5703125" customWidth="1"/>
    <col min="11016" max="11016" width="15.42578125" customWidth="1"/>
    <col min="11017" max="11017" width="12.28515625" customWidth="1"/>
    <col min="11018" max="11019" width="13" customWidth="1"/>
    <col min="11020" max="11020" width="7.28515625" customWidth="1"/>
    <col min="11021" max="11022" width="23.140625" customWidth="1"/>
    <col min="11023" max="11023" width="22.85546875" customWidth="1"/>
    <col min="11024" max="11025" width="22.7109375" customWidth="1"/>
    <col min="11026" max="11026" width="22.5703125" customWidth="1"/>
    <col min="11027" max="11027" width="13.5703125" customWidth="1"/>
    <col min="11028" max="11028" width="10.28515625" bestFit="1" customWidth="1"/>
    <col min="11029" max="11029" width="22.7109375" customWidth="1"/>
    <col min="11030" max="11030" width="4.28515625" customWidth="1"/>
    <col min="11031" max="11031" width="8.7109375" customWidth="1"/>
    <col min="11032" max="11032" width="1.5703125" customWidth="1"/>
    <col min="11033" max="11033" width="3" customWidth="1"/>
    <col min="11263" max="11263" width="3.85546875" customWidth="1"/>
    <col min="11264" max="11264" width="41.85546875" customWidth="1"/>
    <col min="11265" max="11265" width="19.140625" customWidth="1"/>
    <col min="11266" max="11266" width="16.7109375" customWidth="1"/>
    <col min="11267" max="11267" width="13" customWidth="1"/>
    <col min="11268" max="11270" width="14.140625" customWidth="1"/>
    <col min="11271" max="11271" width="6.5703125" customWidth="1"/>
    <col min="11272" max="11272" width="15.42578125" customWidth="1"/>
    <col min="11273" max="11273" width="12.28515625" customWidth="1"/>
    <col min="11274" max="11275" width="13" customWidth="1"/>
    <col min="11276" max="11276" width="7.28515625" customWidth="1"/>
    <col min="11277" max="11278" width="23.140625" customWidth="1"/>
    <col min="11279" max="11279" width="22.85546875" customWidth="1"/>
    <col min="11280" max="11281" width="22.7109375" customWidth="1"/>
    <col min="11282" max="11282" width="22.5703125" customWidth="1"/>
    <col min="11283" max="11283" width="13.5703125" customWidth="1"/>
    <col min="11284" max="11284" width="10.28515625" bestFit="1" customWidth="1"/>
    <col min="11285" max="11285" width="22.7109375" customWidth="1"/>
    <col min="11286" max="11286" width="4.28515625" customWidth="1"/>
    <col min="11287" max="11287" width="8.7109375" customWidth="1"/>
    <col min="11288" max="11288" width="1.5703125" customWidth="1"/>
    <col min="11289" max="11289" width="3" customWidth="1"/>
    <col min="11519" max="11519" width="3.85546875" customWidth="1"/>
    <col min="11520" max="11520" width="41.85546875" customWidth="1"/>
    <col min="11521" max="11521" width="19.140625" customWidth="1"/>
    <col min="11522" max="11522" width="16.7109375" customWidth="1"/>
    <col min="11523" max="11523" width="13" customWidth="1"/>
    <col min="11524" max="11526" width="14.140625" customWidth="1"/>
    <col min="11527" max="11527" width="6.5703125" customWidth="1"/>
    <col min="11528" max="11528" width="15.42578125" customWidth="1"/>
    <col min="11529" max="11529" width="12.28515625" customWidth="1"/>
    <col min="11530" max="11531" width="13" customWidth="1"/>
    <col min="11532" max="11532" width="7.28515625" customWidth="1"/>
    <col min="11533" max="11534" width="23.140625" customWidth="1"/>
    <col min="11535" max="11535" width="22.85546875" customWidth="1"/>
    <col min="11536" max="11537" width="22.7109375" customWidth="1"/>
    <col min="11538" max="11538" width="22.5703125" customWidth="1"/>
    <col min="11539" max="11539" width="13.5703125" customWidth="1"/>
    <col min="11540" max="11540" width="10.28515625" bestFit="1" customWidth="1"/>
    <col min="11541" max="11541" width="22.7109375" customWidth="1"/>
    <col min="11542" max="11542" width="4.28515625" customWidth="1"/>
    <col min="11543" max="11543" width="8.7109375" customWidth="1"/>
    <col min="11544" max="11544" width="1.5703125" customWidth="1"/>
    <col min="11545" max="11545" width="3" customWidth="1"/>
    <col min="11775" max="11775" width="3.85546875" customWidth="1"/>
    <col min="11776" max="11776" width="41.85546875" customWidth="1"/>
    <col min="11777" max="11777" width="19.140625" customWidth="1"/>
    <col min="11778" max="11778" width="16.7109375" customWidth="1"/>
    <col min="11779" max="11779" width="13" customWidth="1"/>
    <col min="11780" max="11782" width="14.140625" customWidth="1"/>
    <col min="11783" max="11783" width="6.5703125" customWidth="1"/>
    <col min="11784" max="11784" width="15.42578125" customWidth="1"/>
    <col min="11785" max="11785" width="12.28515625" customWidth="1"/>
    <col min="11786" max="11787" width="13" customWidth="1"/>
    <col min="11788" max="11788" width="7.28515625" customWidth="1"/>
    <col min="11789" max="11790" width="23.140625" customWidth="1"/>
    <col min="11791" max="11791" width="22.85546875" customWidth="1"/>
    <col min="11792" max="11793" width="22.7109375" customWidth="1"/>
    <col min="11794" max="11794" width="22.5703125" customWidth="1"/>
    <col min="11795" max="11795" width="13.5703125" customWidth="1"/>
    <col min="11796" max="11796" width="10.28515625" bestFit="1" customWidth="1"/>
    <col min="11797" max="11797" width="22.7109375" customWidth="1"/>
    <col min="11798" max="11798" width="4.28515625" customWidth="1"/>
    <col min="11799" max="11799" width="8.7109375" customWidth="1"/>
    <col min="11800" max="11800" width="1.5703125" customWidth="1"/>
    <col min="11801" max="11801" width="3" customWidth="1"/>
    <col min="12031" max="12031" width="3.85546875" customWidth="1"/>
    <col min="12032" max="12032" width="41.85546875" customWidth="1"/>
    <col min="12033" max="12033" width="19.140625" customWidth="1"/>
    <col min="12034" max="12034" width="16.7109375" customWidth="1"/>
    <col min="12035" max="12035" width="13" customWidth="1"/>
    <col min="12036" max="12038" width="14.140625" customWidth="1"/>
    <col min="12039" max="12039" width="6.5703125" customWidth="1"/>
    <col min="12040" max="12040" width="15.42578125" customWidth="1"/>
    <col min="12041" max="12041" width="12.28515625" customWidth="1"/>
    <col min="12042" max="12043" width="13" customWidth="1"/>
    <col min="12044" max="12044" width="7.28515625" customWidth="1"/>
    <col min="12045" max="12046" width="23.140625" customWidth="1"/>
    <col min="12047" max="12047" width="22.85546875" customWidth="1"/>
    <col min="12048" max="12049" width="22.7109375" customWidth="1"/>
    <col min="12050" max="12050" width="22.5703125" customWidth="1"/>
    <col min="12051" max="12051" width="13.5703125" customWidth="1"/>
    <col min="12052" max="12052" width="10.28515625" bestFit="1" customWidth="1"/>
    <col min="12053" max="12053" width="22.7109375" customWidth="1"/>
    <col min="12054" max="12054" width="4.28515625" customWidth="1"/>
    <col min="12055" max="12055" width="8.7109375" customWidth="1"/>
    <col min="12056" max="12056" width="1.5703125" customWidth="1"/>
    <col min="12057" max="12057" width="3" customWidth="1"/>
    <col min="12287" max="12287" width="3.85546875" customWidth="1"/>
    <col min="12288" max="12288" width="41.85546875" customWidth="1"/>
    <col min="12289" max="12289" width="19.140625" customWidth="1"/>
    <col min="12290" max="12290" width="16.7109375" customWidth="1"/>
    <col min="12291" max="12291" width="13" customWidth="1"/>
    <col min="12292" max="12294" width="14.140625" customWidth="1"/>
    <col min="12295" max="12295" width="6.5703125" customWidth="1"/>
    <col min="12296" max="12296" width="15.42578125" customWidth="1"/>
    <col min="12297" max="12297" width="12.28515625" customWidth="1"/>
    <col min="12298" max="12299" width="13" customWidth="1"/>
    <col min="12300" max="12300" width="7.28515625" customWidth="1"/>
    <col min="12301" max="12302" width="23.140625" customWidth="1"/>
    <col min="12303" max="12303" width="22.85546875" customWidth="1"/>
    <col min="12304" max="12305" width="22.7109375" customWidth="1"/>
    <col min="12306" max="12306" width="22.5703125" customWidth="1"/>
    <col min="12307" max="12307" width="13.5703125" customWidth="1"/>
    <col min="12308" max="12308" width="10.28515625" bestFit="1" customWidth="1"/>
    <col min="12309" max="12309" width="22.7109375" customWidth="1"/>
    <col min="12310" max="12310" width="4.28515625" customWidth="1"/>
    <col min="12311" max="12311" width="8.7109375" customWidth="1"/>
    <col min="12312" max="12312" width="1.5703125" customWidth="1"/>
    <col min="12313" max="12313" width="3" customWidth="1"/>
    <col min="12543" max="12543" width="3.85546875" customWidth="1"/>
    <col min="12544" max="12544" width="41.85546875" customWidth="1"/>
    <col min="12545" max="12545" width="19.140625" customWidth="1"/>
    <col min="12546" max="12546" width="16.7109375" customWidth="1"/>
    <col min="12547" max="12547" width="13" customWidth="1"/>
    <col min="12548" max="12550" width="14.140625" customWidth="1"/>
    <col min="12551" max="12551" width="6.5703125" customWidth="1"/>
    <col min="12552" max="12552" width="15.42578125" customWidth="1"/>
    <col min="12553" max="12553" width="12.28515625" customWidth="1"/>
    <col min="12554" max="12555" width="13" customWidth="1"/>
    <col min="12556" max="12556" width="7.28515625" customWidth="1"/>
    <col min="12557" max="12558" width="23.140625" customWidth="1"/>
    <col min="12559" max="12559" width="22.85546875" customWidth="1"/>
    <col min="12560" max="12561" width="22.7109375" customWidth="1"/>
    <col min="12562" max="12562" width="22.5703125" customWidth="1"/>
    <col min="12563" max="12563" width="13.5703125" customWidth="1"/>
    <col min="12564" max="12564" width="10.28515625" bestFit="1" customWidth="1"/>
    <col min="12565" max="12565" width="22.7109375" customWidth="1"/>
    <col min="12566" max="12566" width="4.28515625" customWidth="1"/>
    <col min="12567" max="12567" width="8.7109375" customWidth="1"/>
    <col min="12568" max="12568" width="1.5703125" customWidth="1"/>
    <col min="12569" max="12569" width="3" customWidth="1"/>
    <col min="12799" max="12799" width="3.85546875" customWidth="1"/>
    <col min="12800" max="12800" width="41.85546875" customWidth="1"/>
    <col min="12801" max="12801" width="19.140625" customWidth="1"/>
    <col min="12802" max="12802" width="16.7109375" customWidth="1"/>
    <col min="12803" max="12803" width="13" customWidth="1"/>
    <col min="12804" max="12806" width="14.140625" customWidth="1"/>
    <col min="12807" max="12807" width="6.5703125" customWidth="1"/>
    <col min="12808" max="12808" width="15.42578125" customWidth="1"/>
    <col min="12809" max="12809" width="12.28515625" customWidth="1"/>
    <col min="12810" max="12811" width="13" customWidth="1"/>
    <col min="12812" max="12812" width="7.28515625" customWidth="1"/>
    <col min="12813" max="12814" width="23.140625" customWidth="1"/>
    <col min="12815" max="12815" width="22.85546875" customWidth="1"/>
    <col min="12816" max="12817" width="22.7109375" customWidth="1"/>
    <col min="12818" max="12818" width="22.5703125" customWidth="1"/>
    <col min="12819" max="12819" width="13.5703125" customWidth="1"/>
    <col min="12820" max="12820" width="10.28515625" bestFit="1" customWidth="1"/>
    <col min="12821" max="12821" width="22.7109375" customWidth="1"/>
    <col min="12822" max="12822" width="4.28515625" customWidth="1"/>
    <col min="12823" max="12823" width="8.7109375" customWidth="1"/>
    <col min="12824" max="12824" width="1.5703125" customWidth="1"/>
    <col min="12825" max="12825" width="3" customWidth="1"/>
    <col min="13055" max="13055" width="3.85546875" customWidth="1"/>
    <col min="13056" max="13056" width="41.85546875" customWidth="1"/>
    <col min="13057" max="13057" width="19.140625" customWidth="1"/>
    <col min="13058" max="13058" width="16.7109375" customWidth="1"/>
    <col min="13059" max="13059" width="13" customWidth="1"/>
    <col min="13060" max="13062" width="14.140625" customWidth="1"/>
    <col min="13063" max="13063" width="6.5703125" customWidth="1"/>
    <col min="13064" max="13064" width="15.42578125" customWidth="1"/>
    <col min="13065" max="13065" width="12.28515625" customWidth="1"/>
    <col min="13066" max="13067" width="13" customWidth="1"/>
    <col min="13068" max="13068" width="7.28515625" customWidth="1"/>
    <col min="13069" max="13070" width="23.140625" customWidth="1"/>
    <col min="13071" max="13071" width="22.85546875" customWidth="1"/>
    <col min="13072" max="13073" width="22.7109375" customWidth="1"/>
    <col min="13074" max="13074" width="22.5703125" customWidth="1"/>
    <col min="13075" max="13075" width="13.5703125" customWidth="1"/>
    <col min="13076" max="13076" width="10.28515625" bestFit="1" customWidth="1"/>
    <col min="13077" max="13077" width="22.7109375" customWidth="1"/>
    <col min="13078" max="13078" width="4.28515625" customWidth="1"/>
    <col min="13079" max="13079" width="8.7109375" customWidth="1"/>
    <col min="13080" max="13080" width="1.5703125" customWidth="1"/>
    <col min="13081" max="13081" width="3" customWidth="1"/>
    <col min="13311" max="13311" width="3.85546875" customWidth="1"/>
    <col min="13312" max="13312" width="41.85546875" customWidth="1"/>
    <col min="13313" max="13313" width="19.140625" customWidth="1"/>
    <col min="13314" max="13314" width="16.7109375" customWidth="1"/>
    <col min="13315" max="13315" width="13" customWidth="1"/>
    <col min="13316" max="13318" width="14.140625" customWidth="1"/>
    <col min="13319" max="13319" width="6.5703125" customWidth="1"/>
    <col min="13320" max="13320" width="15.42578125" customWidth="1"/>
    <col min="13321" max="13321" width="12.28515625" customWidth="1"/>
    <col min="13322" max="13323" width="13" customWidth="1"/>
    <col min="13324" max="13324" width="7.28515625" customWidth="1"/>
    <col min="13325" max="13326" width="23.140625" customWidth="1"/>
    <col min="13327" max="13327" width="22.85546875" customWidth="1"/>
    <col min="13328" max="13329" width="22.7109375" customWidth="1"/>
    <col min="13330" max="13330" width="22.5703125" customWidth="1"/>
    <col min="13331" max="13331" width="13.5703125" customWidth="1"/>
    <col min="13332" max="13332" width="10.28515625" bestFit="1" customWidth="1"/>
    <col min="13333" max="13333" width="22.7109375" customWidth="1"/>
    <col min="13334" max="13334" width="4.28515625" customWidth="1"/>
    <col min="13335" max="13335" width="8.7109375" customWidth="1"/>
    <col min="13336" max="13336" width="1.5703125" customWidth="1"/>
    <col min="13337" max="13337" width="3" customWidth="1"/>
    <col min="13567" max="13567" width="3.85546875" customWidth="1"/>
    <col min="13568" max="13568" width="41.85546875" customWidth="1"/>
    <col min="13569" max="13569" width="19.140625" customWidth="1"/>
    <col min="13570" max="13570" width="16.7109375" customWidth="1"/>
    <col min="13571" max="13571" width="13" customWidth="1"/>
    <col min="13572" max="13574" width="14.140625" customWidth="1"/>
    <col min="13575" max="13575" width="6.5703125" customWidth="1"/>
    <col min="13576" max="13576" width="15.42578125" customWidth="1"/>
    <col min="13577" max="13577" width="12.28515625" customWidth="1"/>
    <col min="13578" max="13579" width="13" customWidth="1"/>
    <col min="13580" max="13580" width="7.28515625" customWidth="1"/>
    <col min="13581" max="13582" width="23.140625" customWidth="1"/>
    <col min="13583" max="13583" width="22.85546875" customWidth="1"/>
    <col min="13584" max="13585" width="22.7109375" customWidth="1"/>
    <col min="13586" max="13586" width="22.5703125" customWidth="1"/>
    <col min="13587" max="13587" width="13.5703125" customWidth="1"/>
    <col min="13588" max="13588" width="10.28515625" bestFit="1" customWidth="1"/>
    <col min="13589" max="13589" width="22.7109375" customWidth="1"/>
    <col min="13590" max="13590" width="4.28515625" customWidth="1"/>
    <col min="13591" max="13591" width="8.7109375" customWidth="1"/>
    <col min="13592" max="13592" width="1.5703125" customWidth="1"/>
    <col min="13593" max="13593" width="3" customWidth="1"/>
    <col min="13823" max="13823" width="3.85546875" customWidth="1"/>
    <col min="13824" max="13824" width="41.85546875" customWidth="1"/>
    <col min="13825" max="13825" width="19.140625" customWidth="1"/>
    <col min="13826" max="13826" width="16.7109375" customWidth="1"/>
    <col min="13827" max="13827" width="13" customWidth="1"/>
    <col min="13828" max="13830" width="14.140625" customWidth="1"/>
    <col min="13831" max="13831" width="6.5703125" customWidth="1"/>
    <col min="13832" max="13832" width="15.42578125" customWidth="1"/>
    <col min="13833" max="13833" width="12.28515625" customWidth="1"/>
    <col min="13834" max="13835" width="13" customWidth="1"/>
    <col min="13836" max="13836" width="7.28515625" customWidth="1"/>
    <col min="13837" max="13838" width="23.140625" customWidth="1"/>
    <col min="13839" max="13839" width="22.85546875" customWidth="1"/>
    <col min="13840" max="13841" width="22.7109375" customWidth="1"/>
    <col min="13842" max="13842" width="22.5703125" customWidth="1"/>
    <col min="13843" max="13843" width="13.5703125" customWidth="1"/>
    <col min="13844" max="13844" width="10.28515625" bestFit="1" customWidth="1"/>
    <col min="13845" max="13845" width="22.7109375" customWidth="1"/>
    <col min="13846" max="13846" width="4.28515625" customWidth="1"/>
    <col min="13847" max="13847" width="8.7109375" customWidth="1"/>
    <col min="13848" max="13848" width="1.5703125" customWidth="1"/>
    <col min="13849" max="13849" width="3" customWidth="1"/>
    <col min="14079" max="14079" width="3.85546875" customWidth="1"/>
    <col min="14080" max="14080" width="41.85546875" customWidth="1"/>
    <col min="14081" max="14081" width="19.140625" customWidth="1"/>
    <col min="14082" max="14082" width="16.7109375" customWidth="1"/>
    <col min="14083" max="14083" width="13" customWidth="1"/>
    <col min="14084" max="14086" width="14.140625" customWidth="1"/>
    <col min="14087" max="14087" width="6.5703125" customWidth="1"/>
    <col min="14088" max="14088" width="15.42578125" customWidth="1"/>
    <col min="14089" max="14089" width="12.28515625" customWidth="1"/>
    <col min="14090" max="14091" width="13" customWidth="1"/>
    <col min="14092" max="14092" width="7.28515625" customWidth="1"/>
    <col min="14093" max="14094" width="23.140625" customWidth="1"/>
    <col min="14095" max="14095" width="22.85546875" customWidth="1"/>
    <col min="14096" max="14097" width="22.7109375" customWidth="1"/>
    <col min="14098" max="14098" width="22.5703125" customWidth="1"/>
    <col min="14099" max="14099" width="13.5703125" customWidth="1"/>
    <col min="14100" max="14100" width="10.28515625" bestFit="1" customWidth="1"/>
    <col min="14101" max="14101" width="22.7109375" customWidth="1"/>
    <col min="14102" max="14102" width="4.28515625" customWidth="1"/>
    <col min="14103" max="14103" width="8.7109375" customWidth="1"/>
    <col min="14104" max="14104" width="1.5703125" customWidth="1"/>
    <col min="14105" max="14105" width="3" customWidth="1"/>
    <col min="14335" max="14335" width="3.85546875" customWidth="1"/>
    <col min="14336" max="14336" width="41.85546875" customWidth="1"/>
    <col min="14337" max="14337" width="19.140625" customWidth="1"/>
    <col min="14338" max="14338" width="16.7109375" customWidth="1"/>
    <col min="14339" max="14339" width="13" customWidth="1"/>
    <col min="14340" max="14342" width="14.140625" customWidth="1"/>
    <col min="14343" max="14343" width="6.5703125" customWidth="1"/>
    <col min="14344" max="14344" width="15.42578125" customWidth="1"/>
    <col min="14345" max="14345" width="12.28515625" customWidth="1"/>
    <col min="14346" max="14347" width="13" customWidth="1"/>
    <col min="14348" max="14348" width="7.28515625" customWidth="1"/>
    <col min="14349" max="14350" width="23.140625" customWidth="1"/>
    <col min="14351" max="14351" width="22.85546875" customWidth="1"/>
    <col min="14352" max="14353" width="22.7109375" customWidth="1"/>
    <col min="14354" max="14354" width="22.5703125" customWidth="1"/>
    <col min="14355" max="14355" width="13.5703125" customWidth="1"/>
    <col min="14356" max="14356" width="10.28515625" bestFit="1" customWidth="1"/>
    <col min="14357" max="14357" width="22.7109375" customWidth="1"/>
    <col min="14358" max="14358" width="4.28515625" customWidth="1"/>
    <col min="14359" max="14359" width="8.7109375" customWidth="1"/>
    <col min="14360" max="14360" width="1.5703125" customWidth="1"/>
    <col min="14361" max="14361" width="3" customWidth="1"/>
    <col min="14591" max="14591" width="3.85546875" customWidth="1"/>
    <col min="14592" max="14592" width="41.85546875" customWidth="1"/>
    <col min="14593" max="14593" width="19.140625" customWidth="1"/>
    <col min="14594" max="14594" width="16.7109375" customWidth="1"/>
    <col min="14595" max="14595" width="13" customWidth="1"/>
    <col min="14596" max="14598" width="14.140625" customWidth="1"/>
    <col min="14599" max="14599" width="6.5703125" customWidth="1"/>
    <col min="14600" max="14600" width="15.42578125" customWidth="1"/>
    <col min="14601" max="14601" width="12.28515625" customWidth="1"/>
    <col min="14602" max="14603" width="13" customWidth="1"/>
    <col min="14604" max="14604" width="7.28515625" customWidth="1"/>
    <col min="14605" max="14606" width="23.140625" customWidth="1"/>
    <col min="14607" max="14607" width="22.85546875" customWidth="1"/>
    <col min="14608" max="14609" width="22.7109375" customWidth="1"/>
    <col min="14610" max="14610" width="22.5703125" customWidth="1"/>
    <col min="14611" max="14611" width="13.5703125" customWidth="1"/>
    <col min="14612" max="14612" width="10.28515625" bestFit="1" customWidth="1"/>
    <col min="14613" max="14613" width="22.7109375" customWidth="1"/>
    <col min="14614" max="14614" width="4.28515625" customWidth="1"/>
    <col min="14615" max="14615" width="8.7109375" customWidth="1"/>
    <col min="14616" max="14616" width="1.5703125" customWidth="1"/>
    <col min="14617" max="14617" width="3" customWidth="1"/>
    <col min="14847" max="14847" width="3.85546875" customWidth="1"/>
    <col min="14848" max="14848" width="41.85546875" customWidth="1"/>
    <col min="14849" max="14849" width="19.140625" customWidth="1"/>
    <col min="14850" max="14850" width="16.7109375" customWidth="1"/>
    <col min="14851" max="14851" width="13" customWidth="1"/>
    <col min="14852" max="14854" width="14.140625" customWidth="1"/>
    <col min="14855" max="14855" width="6.5703125" customWidth="1"/>
    <col min="14856" max="14856" width="15.42578125" customWidth="1"/>
    <col min="14857" max="14857" width="12.28515625" customWidth="1"/>
    <col min="14858" max="14859" width="13" customWidth="1"/>
    <col min="14860" max="14860" width="7.28515625" customWidth="1"/>
    <col min="14861" max="14862" width="23.140625" customWidth="1"/>
    <col min="14863" max="14863" width="22.85546875" customWidth="1"/>
    <col min="14864" max="14865" width="22.7109375" customWidth="1"/>
    <col min="14866" max="14866" width="22.5703125" customWidth="1"/>
    <col min="14867" max="14867" width="13.5703125" customWidth="1"/>
    <col min="14868" max="14868" width="10.28515625" bestFit="1" customWidth="1"/>
    <col min="14869" max="14869" width="22.7109375" customWidth="1"/>
    <col min="14870" max="14870" width="4.28515625" customWidth="1"/>
    <col min="14871" max="14871" width="8.7109375" customWidth="1"/>
    <col min="14872" max="14872" width="1.5703125" customWidth="1"/>
    <col min="14873" max="14873" width="3" customWidth="1"/>
    <col min="15103" max="15103" width="3.85546875" customWidth="1"/>
    <col min="15104" max="15104" width="41.85546875" customWidth="1"/>
    <col min="15105" max="15105" width="19.140625" customWidth="1"/>
    <col min="15106" max="15106" width="16.7109375" customWidth="1"/>
    <col min="15107" max="15107" width="13" customWidth="1"/>
    <col min="15108" max="15110" width="14.140625" customWidth="1"/>
    <col min="15111" max="15111" width="6.5703125" customWidth="1"/>
    <col min="15112" max="15112" width="15.42578125" customWidth="1"/>
    <col min="15113" max="15113" width="12.28515625" customWidth="1"/>
    <col min="15114" max="15115" width="13" customWidth="1"/>
    <col min="15116" max="15116" width="7.28515625" customWidth="1"/>
    <col min="15117" max="15118" width="23.140625" customWidth="1"/>
    <col min="15119" max="15119" width="22.85546875" customWidth="1"/>
    <col min="15120" max="15121" width="22.7109375" customWidth="1"/>
    <col min="15122" max="15122" width="22.5703125" customWidth="1"/>
    <col min="15123" max="15123" width="13.5703125" customWidth="1"/>
    <col min="15124" max="15124" width="10.28515625" bestFit="1" customWidth="1"/>
    <col min="15125" max="15125" width="22.7109375" customWidth="1"/>
    <col min="15126" max="15126" width="4.28515625" customWidth="1"/>
    <col min="15127" max="15127" width="8.7109375" customWidth="1"/>
    <col min="15128" max="15128" width="1.5703125" customWidth="1"/>
    <col min="15129" max="15129" width="3" customWidth="1"/>
    <col min="15359" max="15359" width="3.85546875" customWidth="1"/>
    <col min="15360" max="15360" width="41.85546875" customWidth="1"/>
    <col min="15361" max="15361" width="19.140625" customWidth="1"/>
    <col min="15362" max="15362" width="16.7109375" customWidth="1"/>
    <col min="15363" max="15363" width="13" customWidth="1"/>
    <col min="15364" max="15366" width="14.140625" customWidth="1"/>
    <col min="15367" max="15367" width="6.5703125" customWidth="1"/>
    <col min="15368" max="15368" width="15.42578125" customWidth="1"/>
    <col min="15369" max="15369" width="12.28515625" customWidth="1"/>
    <col min="15370" max="15371" width="13" customWidth="1"/>
    <col min="15372" max="15372" width="7.28515625" customWidth="1"/>
    <col min="15373" max="15374" width="23.140625" customWidth="1"/>
    <col min="15375" max="15375" width="22.85546875" customWidth="1"/>
    <col min="15376" max="15377" width="22.7109375" customWidth="1"/>
    <col min="15378" max="15378" width="22.5703125" customWidth="1"/>
    <col min="15379" max="15379" width="13.5703125" customWidth="1"/>
    <col min="15380" max="15380" width="10.28515625" bestFit="1" customWidth="1"/>
    <col min="15381" max="15381" width="22.7109375" customWidth="1"/>
    <col min="15382" max="15382" width="4.28515625" customWidth="1"/>
    <col min="15383" max="15383" width="8.7109375" customWidth="1"/>
    <col min="15384" max="15384" width="1.5703125" customWidth="1"/>
    <col min="15385" max="15385" width="3" customWidth="1"/>
    <col min="15615" max="15615" width="3.85546875" customWidth="1"/>
    <col min="15616" max="15616" width="41.85546875" customWidth="1"/>
    <col min="15617" max="15617" width="19.140625" customWidth="1"/>
    <col min="15618" max="15618" width="16.7109375" customWidth="1"/>
    <col min="15619" max="15619" width="13" customWidth="1"/>
    <col min="15620" max="15622" width="14.140625" customWidth="1"/>
    <col min="15623" max="15623" width="6.5703125" customWidth="1"/>
    <col min="15624" max="15624" width="15.42578125" customWidth="1"/>
    <col min="15625" max="15625" width="12.28515625" customWidth="1"/>
    <col min="15626" max="15627" width="13" customWidth="1"/>
    <col min="15628" max="15628" width="7.28515625" customWidth="1"/>
    <col min="15629" max="15630" width="23.140625" customWidth="1"/>
    <col min="15631" max="15631" width="22.85546875" customWidth="1"/>
    <col min="15632" max="15633" width="22.7109375" customWidth="1"/>
    <col min="15634" max="15634" width="22.5703125" customWidth="1"/>
    <col min="15635" max="15635" width="13.5703125" customWidth="1"/>
    <col min="15636" max="15636" width="10.28515625" bestFit="1" customWidth="1"/>
    <col min="15637" max="15637" width="22.7109375" customWidth="1"/>
    <col min="15638" max="15638" width="4.28515625" customWidth="1"/>
    <col min="15639" max="15639" width="8.7109375" customWidth="1"/>
    <col min="15640" max="15640" width="1.5703125" customWidth="1"/>
    <col min="15641" max="15641" width="3" customWidth="1"/>
    <col min="15871" max="15871" width="3.85546875" customWidth="1"/>
    <col min="15872" max="15872" width="41.85546875" customWidth="1"/>
    <col min="15873" max="15873" width="19.140625" customWidth="1"/>
    <col min="15874" max="15874" width="16.7109375" customWidth="1"/>
    <col min="15875" max="15875" width="13" customWidth="1"/>
    <col min="15876" max="15878" width="14.140625" customWidth="1"/>
    <col min="15879" max="15879" width="6.5703125" customWidth="1"/>
    <col min="15880" max="15880" width="15.42578125" customWidth="1"/>
    <col min="15881" max="15881" width="12.28515625" customWidth="1"/>
    <col min="15882" max="15883" width="13" customWidth="1"/>
    <col min="15884" max="15884" width="7.28515625" customWidth="1"/>
    <col min="15885" max="15886" width="23.140625" customWidth="1"/>
    <col min="15887" max="15887" width="22.85546875" customWidth="1"/>
    <col min="15888" max="15889" width="22.7109375" customWidth="1"/>
    <col min="15890" max="15890" width="22.5703125" customWidth="1"/>
    <col min="15891" max="15891" width="13.5703125" customWidth="1"/>
    <col min="15892" max="15892" width="10.28515625" bestFit="1" customWidth="1"/>
    <col min="15893" max="15893" width="22.7109375" customWidth="1"/>
    <col min="15894" max="15894" width="4.28515625" customWidth="1"/>
    <col min="15895" max="15895" width="8.7109375" customWidth="1"/>
    <col min="15896" max="15896" width="1.5703125" customWidth="1"/>
    <col min="15897" max="15897" width="3" customWidth="1"/>
    <col min="16127" max="16127" width="3.85546875" customWidth="1"/>
    <col min="16128" max="16128" width="41.85546875" customWidth="1"/>
    <col min="16129" max="16129" width="19.140625" customWidth="1"/>
    <col min="16130" max="16130" width="16.7109375" customWidth="1"/>
    <col min="16131" max="16131" width="13" customWidth="1"/>
    <col min="16132" max="16134" width="14.140625" customWidth="1"/>
    <col min="16135" max="16135" width="6.5703125" customWidth="1"/>
    <col min="16136" max="16136" width="15.42578125" customWidth="1"/>
    <col min="16137" max="16137" width="12.28515625" customWidth="1"/>
    <col min="16138" max="16139" width="13" customWidth="1"/>
    <col min="16140" max="16140" width="7.28515625" customWidth="1"/>
    <col min="16141" max="16142" width="23.140625" customWidth="1"/>
    <col min="16143" max="16143" width="22.85546875" customWidth="1"/>
    <col min="16144" max="16145" width="22.7109375" customWidth="1"/>
    <col min="16146" max="16146" width="22.5703125" customWidth="1"/>
    <col min="16147" max="16147" width="13.5703125" customWidth="1"/>
    <col min="16148" max="16148" width="10.28515625" bestFit="1" customWidth="1"/>
    <col min="16149" max="16149" width="22.7109375" customWidth="1"/>
    <col min="16150" max="16150" width="4.28515625" customWidth="1"/>
    <col min="16151" max="16151" width="8.7109375" customWidth="1"/>
    <col min="16152" max="16152" width="1.5703125" customWidth="1"/>
    <col min="16153" max="16153" width="3" customWidth="1"/>
  </cols>
  <sheetData>
    <row r="1" spans="2:29" x14ac:dyDescent="0.2">
      <c r="C1" s="93" t="str">
        <f>FT15.Participant!$A$1</f>
        <v>&lt;IAIG's Name&gt;</v>
      </c>
      <c r="D1" s="94"/>
      <c r="E1" s="94"/>
      <c r="F1" s="94"/>
      <c r="G1" s="94"/>
      <c r="H1" s="94"/>
      <c r="I1" s="95" t="str">
        <f ca="1">HYPERLINK("#"&amp;CELL("address",FT15.IndexSheet),Version)</f>
        <v>2015 IAIS Field Testing Template</v>
      </c>
    </row>
    <row r="2" spans="2:29" ht="15" x14ac:dyDescent="0.25">
      <c r="C2" s="97" t="str">
        <f>FT15.Participant!$A$2</f>
        <v>&lt;Currency&gt; - (&lt;Unit&gt;)</v>
      </c>
      <c r="D2" s="98" t="s">
        <v>623</v>
      </c>
      <c r="E2" s="99"/>
      <c r="F2" s="99"/>
      <c r="G2" s="99"/>
      <c r="H2" s="99"/>
      <c r="I2" s="100" t="str">
        <f>FT15.Participant!$E$2</f>
        <v xml:space="preserve">&lt;Reporting Date&gt; - </v>
      </c>
    </row>
    <row r="5" spans="2:29" ht="15" x14ac:dyDescent="0.25">
      <c r="C5" s="397" t="s">
        <v>624</v>
      </c>
      <c r="D5" s="398"/>
      <c r="E5" s="398"/>
      <c r="F5" s="400" t="s">
        <v>378</v>
      </c>
      <c r="G5" s="148"/>
      <c r="H5" s="148"/>
      <c r="I5" s="148"/>
      <c r="J5" s="148"/>
      <c r="K5" s="148"/>
      <c r="L5" s="148"/>
      <c r="M5" s="148"/>
      <c r="N5" s="148"/>
      <c r="O5" s="148"/>
      <c r="P5" s="148"/>
      <c r="Q5" s="148"/>
      <c r="R5" s="148"/>
      <c r="S5" s="148"/>
      <c r="T5" s="148"/>
      <c r="U5" s="148"/>
      <c r="V5" s="148"/>
      <c r="W5" s="148"/>
      <c r="X5" s="148"/>
      <c r="Y5" s="148"/>
      <c r="Z5" s="148"/>
      <c r="AA5" s="148"/>
    </row>
    <row r="6" spans="2:29" x14ac:dyDescent="0.2">
      <c r="B6" s="124">
        <v>23</v>
      </c>
      <c r="C6" s="105"/>
      <c r="D6" s="105"/>
      <c r="E6" s="105"/>
      <c r="F6" s="106">
        <v>1</v>
      </c>
      <c r="H6" s="580"/>
      <c r="I6" s="148"/>
      <c r="J6" s="148"/>
      <c r="K6" s="148"/>
      <c r="L6" s="148"/>
      <c r="M6" s="148"/>
      <c r="N6" s="148"/>
      <c r="O6" s="148"/>
      <c r="P6" s="148"/>
      <c r="Q6" s="148"/>
      <c r="R6" s="148"/>
      <c r="S6" s="148"/>
      <c r="T6" s="148"/>
      <c r="U6" s="148"/>
      <c r="V6" s="148"/>
      <c r="W6" s="148"/>
      <c r="X6" s="148"/>
      <c r="Y6" s="148"/>
      <c r="Z6" s="148"/>
      <c r="AA6" s="148"/>
    </row>
    <row r="7" spans="2:29" ht="15" x14ac:dyDescent="0.25">
      <c r="B7" s="162">
        <v>1</v>
      </c>
      <c r="C7" s="401"/>
      <c r="D7" s="581"/>
      <c r="E7" s="398"/>
      <c r="F7" s="219">
        <f>SUMIF(U20:U119,"Additional",V20:V119)</f>
        <v>0</v>
      </c>
      <c r="I7" s="148"/>
      <c r="J7" s="148"/>
      <c r="K7" s="148"/>
      <c r="L7" s="148"/>
      <c r="M7" s="148"/>
      <c r="N7" s="148"/>
      <c r="O7" s="148"/>
      <c r="P7" s="148"/>
      <c r="Q7" s="148"/>
      <c r="R7" s="148"/>
      <c r="S7" s="148"/>
      <c r="T7" s="148"/>
      <c r="U7" s="148"/>
      <c r="V7" s="148"/>
      <c r="W7" s="148"/>
      <c r="X7" s="148"/>
      <c r="Y7" s="148"/>
      <c r="Z7" s="148"/>
      <c r="AA7" s="148"/>
    </row>
    <row r="8" spans="2:29" x14ac:dyDescent="0.2">
      <c r="I8" s="148"/>
      <c r="J8" s="148"/>
      <c r="K8" s="148"/>
      <c r="L8" s="148"/>
      <c r="M8" s="148"/>
      <c r="N8" s="148"/>
      <c r="O8" s="148"/>
      <c r="P8" s="148"/>
      <c r="Q8" s="148"/>
      <c r="R8" s="148"/>
      <c r="S8" s="148"/>
      <c r="T8" s="148"/>
      <c r="U8" s="148"/>
      <c r="V8" s="148"/>
      <c r="W8" s="148"/>
      <c r="X8" s="148"/>
      <c r="Y8" s="148"/>
      <c r="Z8" s="148"/>
      <c r="AA8" s="148"/>
    </row>
    <row r="9" spans="2:29" ht="15" x14ac:dyDescent="0.25">
      <c r="C9" s="397" t="s">
        <v>625</v>
      </c>
      <c r="D9" s="398"/>
      <c r="E9" s="398"/>
      <c r="F9" s="400" t="s">
        <v>441</v>
      </c>
      <c r="I9" s="148"/>
      <c r="J9" s="148"/>
      <c r="K9" s="148"/>
      <c r="L9" s="148"/>
      <c r="M9" s="148"/>
      <c r="N9" s="148"/>
      <c r="O9" s="148"/>
      <c r="P9" s="148"/>
      <c r="Q9" s="148"/>
      <c r="R9" s="148"/>
      <c r="S9" s="148"/>
      <c r="T9" s="148"/>
      <c r="U9" s="148"/>
      <c r="V9" s="148"/>
      <c r="W9" s="148"/>
      <c r="X9" s="148"/>
      <c r="Y9" s="148"/>
      <c r="Z9" s="148"/>
      <c r="AA9" s="148"/>
    </row>
    <row r="10" spans="2:29" x14ac:dyDescent="0.2">
      <c r="B10" s="124">
        <v>24</v>
      </c>
      <c r="C10" s="105"/>
      <c r="D10" s="105"/>
      <c r="E10" s="105"/>
      <c r="F10" s="106">
        <v>1</v>
      </c>
      <c r="I10" s="148"/>
      <c r="J10" s="148"/>
      <c r="K10" s="148"/>
      <c r="L10" s="148"/>
      <c r="M10" s="148"/>
      <c r="N10" s="148"/>
      <c r="O10" s="148"/>
      <c r="P10" s="148"/>
      <c r="Q10" s="148"/>
      <c r="R10" s="148"/>
      <c r="S10" s="148"/>
      <c r="T10" s="148"/>
      <c r="U10" s="148"/>
      <c r="V10" s="148"/>
      <c r="W10" s="148"/>
      <c r="X10" s="148"/>
      <c r="Y10" s="148"/>
      <c r="Z10" s="148"/>
      <c r="AA10" s="148"/>
    </row>
    <row r="11" spans="2:29" x14ac:dyDescent="0.2">
      <c r="B11" s="169">
        <v>1</v>
      </c>
      <c r="C11" s="582" t="s">
        <v>626</v>
      </c>
      <c r="D11" s="583"/>
      <c r="E11" s="584"/>
      <c r="F11" s="219">
        <f>SUMIFS($I$20:$I$119,$K$20:$K$119,"Y",$C$20:$C$119,"Other")</f>
        <v>0</v>
      </c>
      <c r="H11" s="424"/>
      <c r="I11" s="148"/>
      <c r="J11" s="148"/>
      <c r="K11" s="148"/>
      <c r="L11" s="148"/>
      <c r="M11" s="148"/>
      <c r="N11" s="148"/>
      <c r="O11" s="148"/>
      <c r="P11" s="148"/>
      <c r="Q11" s="148"/>
      <c r="R11" s="148"/>
      <c r="S11" s="148"/>
      <c r="T11" s="148"/>
      <c r="U11" s="148"/>
      <c r="V11" s="148"/>
      <c r="W11" s="148"/>
      <c r="X11" s="148"/>
      <c r="Y11" s="148"/>
      <c r="Z11" s="148"/>
      <c r="AA11" s="148"/>
    </row>
    <row r="12" spans="2:29" s="410" customFormat="1" x14ac:dyDescent="0.2">
      <c r="B12" s="162">
        <v>2</v>
      </c>
      <c r="C12" s="585" t="s">
        <v>447</v>
      </c>
      <c r="D12" s="99"/>
      <c r="E12" s="586"/>
      <c r="F12" s="587">
        <f>SUMIF($K$20:$K$119,"Y",$I$20:$I$119)-SUMIFS($I$20:$I$119,$K$20:$K$119,"Y",$C$20:$C$119,"Other")</f>
        <v>0</v>
      </c>
      <c r="G12" s="424"/>
      <c r="I12" s="424"/>
      <c r="J12" s="424"/>
      <c r="K12" s="424"/>
      <c r="L12" s="424"/>
      <c r="M12" s="424"/>
      <c r="N12" s="424"/>
      <c r="O12" s="424"/>
      <c r="P12" s="424"/>
      <c r="Q12" s="424"/>
      <c r="R12" s="424"/>
      <c r="S12" s="424"/>
      <c r="T12" s="424"/>
      <c r="U12" s="424"/>
      <c r="V12" s="424"/>
      <c r="W12" s="424"/>
      <c r="X12" s="424"/>
      <c r="Y12" s="424"/>
      <c r="Z12" s="424"/>
      <c r="AA12" s="424"/>
      <c r="AB12"/>
      <c r="AC12"/>
    </row>
    <row r="13" spans="2:29" s="410" customFormat="1" ht="12.75" customHeight="1" x14ac:dyDescent="0.2">
      <c r="C13" s="588"/>
      <c r="D13" s="588"/>
      <c r="E13" s="588"/>
      <c r="F13" s="588"/>
      <c r="G13" s="588"/>
      <c r="H13" s="588"/>
      <c r="I13" s="588"/>
      <c r="J13" s="588"/>
      <c r="K13" s="588"/>
      <c r="L13" s="588"/>
      <c r="M13" s="588"/>
      <c r="N13" s="588"/>
      <c r="O13" s="588"/>
      <c r="P13" s="588"/>
      <c r="Q13" s="588"/>
      <c r="R13" s="588"/>
      <c r="S13" s="588"/>
      <c r="T13" s="428"/>
      <c r="U13" s="430"/>
      <c r="V13" s="430"/>
      <c r="W13" s="428"/>
      <c r="X13" s="428"/>
      <c r="Y13" s="428"/>
      <c r="Z13" s="430"/>
      <c r="AA13" s="430"/>
      <c r="AB13"/>
      <c r="AC13"/>
    </row>
    <row r="14" spans="2:29" s="410" customFormat="1" x14ac:dyDescent="0.2">
      <c r="C14" s="589"/>
      <c r="D14" s="417"/>
      <c r="E14" s="417"/>
      <c r="F14" s="417"/>
      <c r="G14" s="417"/>
      <c r="H14" s="417"/>
      <c r="I14" s="417"/>
      <c r="J14" s="417"/>
      <c r="K14" s="437"/>
      <c r="L14" s="437"/>
      <c r="M14" s="437"/>
      <c r="N14" s="437"/>
      <c r="O14" s="437"/>
      <c r="P14" s="437"/>
      <c r="Q14" s="437"/>
      <c r="R14" s="437"/>
      <c r="S14" s="437"/>
      <c r="T14" s="417"/>
      <c r="U14" s="417"/>
      <c r="V14" s="417"/>
      <c r="W14" s="417"/>
      <c r="X14" s="417"/>
      <c r="Y14" s="417"/>
      <c r="Z14" s="417"/>
      <c r="AA14" s="590"/>
      <c r="AB14"/>
      <c r="AC14"/>
    </row>
    <row r="15" spans="2:29" s="410" customFormat="1" ht="15" x14ac:dyDescent="0.2">
      <c r="C15" s="445"/>
      <c r="D15" s="445"/>
      <c r="E15" s="445"/>
      <c r="F15" s="445"/>
      <c r="G15" s="445"/>
      <c r="H15" s="445"/>
      <c r="I15" s="445"/>
      <c r="J15" s="445"/>
      <c r="K15" s="445"/>
      <c r="L15" s="447"/>
      <c r="M15" s="447"/>
      <c r="N15" s="447"/>
      <c r="O15" s="447"/>
      <c r="P15" s="447"/>
      <c r="Q15" s="447"/>
      <c r="R15" s="445"/>
      <c r="S15" s="445"/>
      <c r="T15" s="445"/>
      <c r="U15" s="445"/>
      <c r="V15" s="445"/>
      <c r="W15" s="445"/>
      <c r="X15" s="445"/>
      <c r="Y15" s="445"/>
      <c r="Z15" s="445"/>
      <c r="AA15" s="445"/>
      <c r="AB15"/>
      <c r="AC15"/>
    </row>
    <row r="16" spans="2:29" s="410" customFormat="1" ht="14.25" customHeight="1" x14ac:dyDescent="0.2">
      <c r="C16" s="1440" t="s">
        <v>627</v>
      </c>
      <c r="D16" s="1444" t="s">
        <v>628</v>
      </c>
      <c r="E16" s="1444" t="s">
        <v>629</v>
      </c>
      <c r="F16" s="1444" t="s">
        <v>630</v>
      </c>
      <c r="G16" s="1444" t="s">
        <v>631</v>
      </c>
      <c r="H16" s="1444" t="s">
        <v>632</v>
      </c>
      <c r="I16" s="1444" t="s">
        <v>633</v>
      </c>
      <c r="J16" s="1444" t="s">
        <v>634</v>
      </c>
      <c r="K16" s="1444" t="s">
        <v>635</v>
      </c>
      <c r="L16" s="1444" t="s">
        <v>636</v>
      </c>
      <c r="M16" s="1444" t="s">
        <v>637</v>
      </c>
      <c r="N16" s="1444" t="s">
        <v>638</v>
      </c>
      <c r="O16" s="1444" t="s">
        <v>639</v>
      </c>
      <c r="P16" s="1444" t="s">
        <v>640</v>
      </c>
      <c r="Q16" s="1444" t="s">
        <v>641</v>
      </c>
      <c r="R16" s="1444" t="s">
        <v>642</v>
      </c>
      <c r="S16" s="1444" t="s">
        <v>643</v>
      </c>
      <c r="T16" s="455"/>
      <c r="U16" s="1440" t="s">
        <v>644</v>
      </c>
      <c r="V16" s="1441"/>
      <c r="W16" s="455"/>
      <c r="X16" s="1440" t="s">
        <v>645</v>
      </c>
      <c r="Y16" s="1441"/>
      <c r="Z16" s="455"/>
      <c r="AA16" s="1444" t="s">
        <v>646</v>
      </c>
      <c r="AB16"/>
      <c r="AC16"/>
    </row>
    <row r="17" spans="2:29" s="410" customFormat="1" ht="84.75" customHeight="1" x14ac:dyDescent="0.2">
      <c r="C17" s="1449"/>
      <c r="D17" s="1445"/>
      <c r="E17" s="1445"/>
      <c r="F17" s="1445"/>
      <c r="G17" s="1445"/>
      <c r="H17" s="1445"/>
      <c r="I17" s="1445"/>
      <c r="J17" s="1445"/>
      <c r="K17" s="1445"/>
      <c r="L17" s="1445"/>
      <c r="M17" s="1445"/>
      <c r="N17" s="1445"/>
      <c r="O17" s="1445"/>
      <c r="P17" s="1445"/>
      <c r="Q17" s="1445"/>
      <c r="R17" s="1445"/>
      <c r="S17" s="1445"/>
      <c r="T17" s="461"/>
      <c r="U17" s="1447"/>
      <c r="V17" s="1448"/>
      <c r="W17" s="461"/>
      <c r="X17" s="1442"/>
      <c r="Y17" s="1443"/>
      <c r="Z17" s="461"/>
      <c r="AA17" s="1445"/>
      <c r="AB17"/>
      <c r="AC17"/>
    </row>
    <row r="18" spans="2:29" s="410" customFormat="1" x14ac:dyDescent="0.2">
      <c r="C18" s="1442"/>
      <c r="D18" s="1446"/>
      <c r="E18" s="1446"/>
      <c r="F18" s="1446"/>
      <c r="G18" s="1446"/>
      <c r="H18" s="1446"/>
      <c r="I18" s="1446"/>
      <c r="J18" s="1446"/>
      <c r="K18" s="1446"/>
      <c r="L18" s="1446"/>
      <c r="M18" s="1446"/>
      <c r="N18" s="1446"/>
      <c r="O18" s="1446"/>
      <c r="P18" s="1446"/>
      <c r="Q18" s="1446"/>
      <c r="R18" s="1446"/>
      <c r="S18" s="1446"/>
      <c r="T18" s="461"/>
      <c r="U18" s="591" t="s">
        <v>522</v>
      </c>
      <c r="V18" s="592" t="s">
        <v>541</v>
      </c>
      <c r="W18" s="461"/>
      <c r="X18" s="591" t="s">
        <v>524</v>
      </c>
      <c r="Y18" s="593" t="s">
        <v>542</v>
      </c>
      <c r="Z18" s="461"/>
      <c r="AA18" s="1446"/>
      <c r="AB18"/>
      <c r="AC18"/>
    </row>
    <row r="19" spans="2:29" s="410" customFormat="1" x14ac:dyDescent="0.2">
      <c r="B19" s="104">
        <v>25</v>
      </c>
      <c r="C19" s="167">
        <v>1</v>
      </c>
      <c r="D19" s="167">
        <v>2</v>
      </c>
      <c r="E19" s="167">
        <v>3</v>
      </c>
      <c r="F19" s="167">
        <v>4</v>
      </c>
      <c r="G19" s="167">
        <v>5</v>
      </c>
      <c r="H19" s="167">
        <v>6</v>
      </c>
      <c r="I19" s="167">
        <v>7</v>
      </c>
      <c r="J19" s="167">
        <v>8</v>
      </c>
      <c r="K19" s="167">
        <v>9</v>
      </c>
      <c r="L19" s="167">
        <v>10</v>
      </c>
      <c r="M19" s="167">
        <v>11</v>
      </c>
      <c r="N19" s="167">
        <v>12</v>
      </c>
      <c r="O19" s="167">
        <v>13</v>
      </c>
      <c r="P19" s="167">
        <v>14</v>
      </c>
      <c r="Q19" s="167">
        <v>15</v>
      </c>
      <c r="R19" s="167">
        <v>16</v>
      </c>
      <c r="S19" s="214">
        <v>17</v>
      </c>
      <c r="T19" s="461"/>
      <c r="U19" s="493">
        <v>18</v>
      </c>
      <c r="V19" s="214">
        <v>19</v>
      </c>
      <c r="W19" s="461"/>
      <c r="X19" s="493">
        <v>20</v>
      </c>
      <c r="Y19" s="214">
        <v>21</v>
      </c>
      <c r="Z19" s="461"/>
      <c r="AA19" s="594">
        <v>22</v>
      </c>
      <c r="AB19"/>
      <c r="AC19"/>
    </row>
    <row r="20" spans="2:29" s="424" customFormat="1" x14ac:dyDescent="0.2">
      <c r="B20" s="169">
        <v>1</v>
      </c>
      <c r="C20" s="496"/>
      <c r="D20" s="498"/>
      <c r="E20" s="501"/>
      <c r="F20" s="595"/>
      <c r="G20" s="595"/>
      <c r="H20" s="501"/>
      <c r="I20" s="503"/>
      <c r="J20" s="503"/>
      <c r="K20" s="501"/>
      <c r="L20" s="501"/>
      <c r="M20" s="501"/>
      <c r="N20" s="501"/>
      <c r="O20" s="501"/>
      <c r="P20" s="501"/>
      <c r="Q20" s="501"/>
      <c r="R20" s="596"/>
      <c r="S20" s="597"/>
      <c r="T20" s="506"/>
      <c r="U20" s="598"/>
      <c r="V20" s="510"/>
      <c r="W20" s="506"/>
      <c r="X20" s="598"/>
      <c r="Y20" s="510"/>
      <c r="Z20" s="506"/>
      <c r="AA20" s="599" t="str">
        <f t="shared" ref="AA20:AA83" si="0">IF(C20="","",IF(AND(K20="Y",L20="Y",M20="Y",N20="Y",O20="Y",P20="N",Q20="Y"),"Y","N"))</f>
        <v/>
      </c>
      <c r="AB20"/>
      <c r="AC20"/>
    </row>
    <row r="21" spans="2:29" s="410" customFormat="1" x14ac:dyDescent="0.2">
      <c r="B21" s="169">
        <v>2</v>
      </c>
      <c r="C21" s="517"/>
      <c r="D21" s="519"/>
      <c r="E21" s="522"/>
      <c r="F21" s="600"/>
      <c r="G21" s="600"/>
      <c r="H21" s="522"/>
      <c r="I21" s="524"/>
      <c r="J21" s="524"/>
      <c r="K21" s="522"/>
      <c r="L21" s="522"/>
      <c r="M21" s="522"/>
      <c r="N21" s="522"/>
      <c r="O21" s="522"/>
      <c r="P21" s="522"/>
      <c r="Q21" s="522"/>
      <c r="R21" s="601"/>
      <c r="S21" s="602"/>
      <c r="T21" s="506"/>
      <c r="U21" s="603"/>
      <c r="V21" s="530"/>
      <c r="W21" s="506"/>
      <c r="X21" s="603"/>
      <c r="Y21" s="530"/>
      <c r="Z21" s="506"/>
      <c r="AA21" s="604" t="str">
        <f t="shared" si="0"/>
        <v/>
      </c>
      <c r="AB21"/>
      <c r="AC21"/>
    </row>
    <row r="22" spans="2:29" s="410" customFormat="1" x14ac:dyDescent="0.2">
      <c r="B22" s="169">
        <v>3</v>
      </c>
      <c r="C22" s="517"/>
      <c r="D22" s="519"/>
      <c r="E22" s="522"/>
      <c r="F22" s="600"/>
      <c r="G22" s="600"/>
      <c r="H22" s="522"/>
      <c r="I22" s="524"/>
      <c r="J22" s="524"/>
      <c r="K22" s="522"/>
      <c r="L22" s="522"/>
      <c r="M22" s="522"/>
      <c r="N22" s="522"/>
      <c r="O22" s="522"/>
      <c r="P22" s="522"/>
      <c r="Q22" s="522"/>
      <c r="R22" s="601"/>
      <c r="S22" s="602"/>
      <c r="T22" s="506"/>
      <c r="U22" s="603"/>
      <c r="V22" s="530"/>
      <c r="W22" s="506"/>
      <c r="X22" s="603"/>
      <c r="Y22" s="530"/>
      <c r="Z22" s="506"/>
      <c r="AA22" s="604" t="str">
        <f t="shared" si="0"/>
        <v/>
      </c>
      <c r="AB22"/>
      <c r="AC22"/>
    </row>
    <row r="23" spans="2:29" s="410" customFormat="1" x14ac:dyDescent="0.2">
      <c r="B23" s="169">
        <v>4</v>
      </c>
      <c r="C23" s="517"/>
      <c r="D23" s="519"/>
      <c r="E23" s="522"/>
      <c r="F23" s="600"/>
      <c r="G23" s="600"/>
      <c r="H23" s="522"/>
      <c r="I23" s="524"/>
      <c r="J23" s="524"/>
      <c r="K23" s="522"/>
      <c r="L23" s="522"/>
      <c r="M23" s="522"/>
      <c r="N23" s="522"/>
      <c r="O23" s="522"/>
      <c r="P23" s="522"/>
      <c r="Q23" s="522"/>
      <c r="R23" s="601"/>
      <c r="S23" s="602"/>
      <c r="T23" s="506"/>
      <c r="U23" s="603"/>
      <c r="V23" s="530"/>
      <c r="W23" s="506"/>
      <c r="X23" s="603"/>
      <c r="Y23" s="530"/>
      <c r="Z23" s="506"/>
      <c r="AA23" s="604" t="str">
        <f t="shared" si="0"/>
        <v/>
      </c>
      <c r="AB23"/>
      <c r="AC23"/>
    </row>
    <row r="24" spans="2:29" s="410" customFormat="1" x14ac:dyDescent="0.2">
      <c r="B24" s="169">
        <v>5</v>
      </c>
      <c r="C24" s="517"/>
      <c r="D24" s="519"/>
      <c r="E24" s="522"/>
      <c r="F24" s="600"/>
      <c r="G24" s="600"/>
      <c r="H24" s="522"/>
      <c r="I24" s="524"/>
      <c r="J24" s="524"/>
      <c r="K24" s="522"/>
      <c r="L24" s="522"/>
      <c r="M24" s="522"/>
      <c r="N24" s="522"/>
      <c r="O24" s="522"/>
      <c r="P24" s="522"/>
      <c r="Q24" s="522"/>
      <c r="R24" s="601"/>
      <c r="S24" s="602"/>
      <c r="T24" s="506"/>
      <c r="U24" s="603"/>
      <c r="V24" s="530"/>
      <c r="W24" s="506"/>
      <c r="X24" s="603"/>
      <c r="Y24" s="530"/>
      <c r="Z24" s="506"/>
      <c r="AA24" s="604" t="str">
        <f t="shared" si="0"/>
        <v/>
      </c>
      <c r="AB24"/>
      <c r="AC24"/>
    </row>
    <row r="25" spans="2:29" s="410" customFormat="1" x14ac:dyDescent="0.2">
      <c r="B25" s="169">
        <v>6</v>
      </c>
      <c r="C25" s="517"/>
      <c r="D25" s="519"/>
      <c r="E25" s="522"/>
      <c r="F25" s="600"/>
      <c r="G25" s="600"/>
      <c r="H25" s="522"/>
      <c r="I25" s="524"/>
      <c r="J25" s="524"/>
      <c r="K25" s="522"/>
      <c r="L25" s="522"/>
      <c r="M25" s="522"/>
      <c r="N25" s="522"/>
      <c r="O25" s="522"/>
      <c r="P25" s="522"/>
      <c r="Q25" s="522"/>
      <c r="R25" s="601"/>
      <c r="S25" s="602"/>
      <c r="T25" s="506"/>
      <c r="U25" s="603"/>
      <c r="V25" s="530"/>
      <c r="W25" s="506"/>
      <c r="X25" s="603"/>
      <c r="Y25" s="530"/>
      <c r="Z25" s="506"/>
      <c r="AA25" s="604" t="str">
        <f t="shared" si="0"/>
        <v/>
      </c>
      <c r="AB25"/>
      <c r="AC25"/>
    </row>
    <row r="26" spans="2:29" s="410" customFormat="1" x14ac:dyDescent="0.2">
      <c r="B26" s="169">
        <v>7</v>
      </c>
      <c r="C26" s="517"/>
      <c r="D26" s="519"/>
      <c r="E26" s="522"/>
      <c r="F26" s="600"/>
      <c r="G26" s="600"/>
      <c r="H26" s="522"/>
      <c r="I26" s="524"/>
      <c r="J26" s="524"/>
      <c r="K26" s="522"/>
      <c r="L26" s="522"/>
      <c r="M26" s="522"/>
      <c r="N26" s="522"/>
      <c r="O26" s="522"/>
      <c r="P26" s="522"/>
      <c r="Q26" s="522"/>
      <c r="R26" s="601"/>
      <c r="S26" s="602"/>
      <c r="T26" s="506"/>
      <c r="U26" s="603"/>
      <c r="V26" s="530"/>
      <c r="W26" s="506"/>
      <c r="X26" s="603"/>
      <c r="Y26" s="530"/>
      <c r="Z26" s="506"/>
      <c r="AA26" s="604" t="str">
        <f t="shared" si="0"/>
        <v/>
      </c>
      <c r="AB26"/>
      <c r="AC26"/>
    </row>
    <row r="27" spans="2:29" s="410" customFormat="1" x14ac:dyDescent="0.2">
      <c r="B27" s="169">
        <v>8</v>
      </c>
      <c r="C27" s="517"/>
      <c r="D27" s="519"/>
      <c r="E27" s="522"/>
      <c r="F27" s="600"/>
      <c r="G27" s="600"/>
      <c r="H27" s="522"/>
      <c r="I27" s="524"/>
      <c r="J27" s="524"/>
      <c r="K27" s="522"/>
      <c r="L27" s="522"/>
      <c r="M27" s="522"/>
      <c r="N27" s="522"/>
      <c r="O27" s="522"/>
      <c r="P27" s="522"/>
      <c r="Q27" s="522"/>
      <c r="R27" s="601"/>
      <c r="S27" s="602"/>
      <c r="T27" s="506"/>
      <c r="U27" s="603"/>
      <c r="V27" s="530"/>
      <c r="W27" s="506"/>
      <c r="X27" s="603"/>
      <c r="Y27" s="530"/>
      <c r="Z27" s="506"/>
      <c r="AA27" s="604" t="str">
        <f t="shared" si="0"/>
        <v/>
      </c>
      <c r="AB27"/>
      <c r="AC27"/>
    </row>
    <row r="28" spans="2:29" s="410" customFormat="1" x14ac:dyDescent="0.2">
      <c r="B28" s="169">
        <v>9</v>
      </c>
      <c r="C28" s="517"/>
      <c r="D28" s="519"/>
      <c r="E28" s="522"/>
      <c r="F28" s="600"/>
      <c r="G28" s="600"/>
      <c r="H28" s="522"/>
      <c r="I28" s="524"/>
      <c r="J28" s="524"/>
      <c r="K28" s="522"/>
      <c r="L28" s="522"/>
      <c r="M28" s="522"/>
      <c r="N28" s="522"/>
      <c r="O28" s="522"/>
      <c r="P28" s="522"/>
      <c r="Q28" s="522"/>
      <c r="R28" s="601"/>
      <c r="S28" s="602"/>
      <c r="T28" s="506"/>
      <c r="U28" s="603"/>
      <c r="V28" s="530"/>
      <c r="W28" s="506"/>
      <c r="X28" s="603"/>
      <c r="Y28" s="530"/>
      <c r="Z28" s="506"/>
      <c r="AA28" s="604" t="str">
        <f t="shared" si="0"/>
        <v/>
      </c>
      <c r="AB28"/>
      <c r="AC28"/>
    </row>
    <row r="29" spans="2:29" s="410" customFormat="1" x14ac:dyDescent="0.2">
      <c r="B29" s="169">
        <v>10</v>
      </c>
      <c r="C29" s="517"/>
      <c r="D29" s="519"/>
      <c r="E29" s="522"/>
      <c r="F29" s="600"/>
      <c r="G29" s="600"/>
      <c r="H29" s="522"/>
      <c r="I29" s="524"/>
      <c r="J29" s="524"/>
      <c r="K29" s="522"/>
      <c r="L29" s="522"/>
      <c r="M29" s="522"/>
      <c r="N29" s="522"/>
      <c r="O29" s="522"/>
      <c r="P29" s="522"/>
      <c r="Q29" s="522"/>
      <c r="R29" s="601"/>
      <c r="S29" s="602"/>
      <c r="T29" s="506"/>
      <c r="U29" s="603"/>
      <c r="V29" s="530"/>
      <c r="W29" s="506"/>
      <c r="X29" s="603"/>
      <c r="Y29" s="530"/>
      <c r="Z29" s="506"/>
      <c r="AA29" s="604" t="str">
        <f t="shared" si="0"/>
        <v/>
      </c>
      <c r="AB29"/>
      <c r="AC29"/>
    </row>
    <row r="30" spans="2:29" s="410" customFormat="1" x14ac:dyDescent="0.2">
      <c r="B30" s="169">
        <v>11</v>
      </c>
      <c r="C30" s="517"/>
      <c r="D30" s="519"/>
      <c r="E30" s="522"/>
      <c r="F30" s="600"/>
      <c r="G30" s="600"/>
      <c r="H30" s="522"/>
      <c r="I30" s="524"/>
      <c r="J30" s="524"/>
      <c r="K30" s="522"/>
      <c r="L30" s="522"/>
      <c r="M30" s="522"/>
      <c r="N30" s="522"/>
      <c r="O30" s="522"/>
      <c r="P30" s="522"/>
      <c r="Q30" s="522"/>
      <c r="R30" s="601"/>
      <c r="S30" s="602"/>
      <c r="T30" s="506"/>
      <c r="U30" s="603"/>
      <c r="V30" s="530"/>
      <c r="W30" s="506"/>
      <c r="X30" s="603"/>
      <c r="Y30" s="530"/>
      <c r="Z30" s="506"/>
      <c r="AA30" s="604" t="str">
        <f t="shared" si="0"/>
        <v/>
      </c>
      <c r="AB30"/>
      <c r="AC30"/>
    </row>
    <row r="31" spans="2:29" s="410" customFormat="1" x14ac:dyDescent="0.2">
      <c r="B31" s="169">
        <v>12</v>
      </c>
      <c r="C31" s="517"/>
      <c r="D31" s="519"/>
      <c r="E31" s="522"/>
      <c r="F31" s="600"/>
      <c r="G31" s="600"/>
      <c r="H31" s="522"/>
      <c r="I31" s="524"/>
      <c r="J31" s="524"/>
      <c r="K31" s="522"/>
      <c r="L31" s="522"/>
      <c r="M31" s="522"/>
      <c r="N31" s="522"/>
      <c r="O31" s="522"/>
      <c r="P31" s="522"/>
      <c r="Q31" s="522"/>
      <c r="R31" s="601"/>
      <c r="S31" s="602"/>
      <c r="T31" s="506"/>
      <c r="U31" s="603"/>
      <c r="V31" s="530"/>
      <c r="W31" s="506"/>
      <c r="X31" s="603"/>
      <c r="Y31" s="530"/>
      <c r="Z31" s="506"/>
      <c r="AA31" s="604" t="str">
        <f t="shared" si="0"/>
        <v/>
      </c>
      <c r="AB31"/>
      <c r="AC31"/>
    </row>
    <row r="32" spans="2:29" s="410" customFormat="1" x14ac:dyDescent="0.2">
      <c r="B32" s="169">
        <v>13</v>
      </c>
      <c r="C32" s="517"/>
      <c r="D32" s="519"/>
      <c r="E32" s="522"/>
      <c r="F32" s="600"/>
      <c r="G32" s="600"/>
      <c r="H32" s="522"/>
      <c r="I32" s="524"/>
      <c r="J32" s="524"/>
      <c r="K32" s="522"/>
      <c r="L32" s="522"/>
      <c r="M32" s="522"/>
      <c r="N32" s="522"/>
      <c r="O32" s="522"/>
      <c r="P32" s="522"/>
      <c r="Q32" s="522"/>
      <c r="R32" s="601"/>
      <c r="S32" s="602"/>
      <c r="T32" s="506"/>
      <c r="U32" s="603"/>
      <c r="V32" s="530"/>
      <c r="W32" s="506"/>
      <c r="X32" s="603"/>
      <c r="Y32" s="530"/>
      <c r="Z32" s="506"/>
      <c r="AA32" s="604" t="str">
        <f t="shared" si="0"/>
        <v/>
      </c>
      <c r="AB32"/>
      <c r="AC32"/>
    </row>
    <row r="33" spans="2:29" s="410" customFormat="1" x14ac:dyDescent="0.2">
      <c r="B33" s="169">
        <v>14</v>
      </c>
      <c r="C33" s="517"/>
      <c r="D33" s="519"/>
      <c r="E33" s="522"/>
      <c r="F33" s="600"/>
      <c r="G33" s="600"/>
      <c r="H33" s="522"/>
      <c r="I33" s="524"/>
      <c r="J33" s="524"/>
      <c r="K33" s="522"/>
      <c r="L33" s="522"/>
      <c r="M33" s="522"/>
      <c r="N33" s="522"/>
      <c r="O33" s="522"/>
      <c r="P33" s="522"/>
      <c r="Q33" s="522"/>
      <c r="R33" s="601"/>
      <c r="S33" s="602"/>
      <c r="T33" s="506"/>
      <c r="U33" s="603"/>
      <c r="V33" s="530"/>
      <c r="W33" s="506"/>
      <c r="X33" s="603"/>
      <c r="Y33" s="530"/>
      <c r="Z33" s="506"/>
      <c r="AA33" s="604" t="str">
        <f t="shared" si="0"/>
        <v/>
      </c>
      <c r="AB33"/>
      <c r="AC33"/>
    </row>
    <row r="34" spans="2:29" s="410" customFormat="1" x14ac:dyDescent="0.2">
      <c r="B34" s="169">
        <v>15</v>
      </c>
      <c r="C34" s="517"/>
      <c r="D34" s="519"/>
      <c r="E34" s="522"/>
      <c r="F34" s="600"/>
      <c r="G34" s="600"/>
      <c r="H34" s="522"/>
      <c r="I34" s="524"/>
      <c r="J34" s="524"/>
      <c r="K34" s="522"/>
      <c r="L34" s="522"/>
      <c r="M34" s="522"/>
      <c r="N34" s="522"/>
      <c r="O34" s="522"/>
      <c r="P34" s="522"/>
      <c r="Q34" s="522"/>
      <c r="R34" s="601"/>
      <c r="S34" s="602"/>
      <c r="T34" s="506"/>
      <c r="U34" s="603"/>
      <c r="V34" s="530"/>
      <c r="W34" s="506"/>
      <c r="X34" s="603"/>
      <c r="Y34" s="530"/>
      <c r="Z34" s="506"/>
      <c r="AA34" s="604" t="str">
        <f t="shared" si="0"/>
        <v/>
      </c>
      <c r="AB34"/>
      <c r="AC34"/>
    </row>
    <row r="35" spans="2:29" s="410" customFormat="1" x14ac:dyDescent="0.2">
      <c r="B35" s="169">
        <v>16</v>
      </c>
      <c r="C35" s="517"/>
      <c r="D35" s="519"/>
      <c r="E35" s="522"/>
      <c r="F35" s="600"/>
      <c r="G35" s="600"/>
      <c r="H35" s="522"/>
      <c r="I35" s="524"/>
      <c r="J35" s="524"/>
      <c r="K35" s="522"/>
      <c r="L35" s="522"/>
      <c r="M35" s="522"/>
      <c r="N35" s="522"/>
      <c r="O35" s="522"/>
      <c r="P35" s="522"/>
      <c r="Q35" s="522"/>
      <c r="R35" s="601"/>
      <c r="S35" s="602"/>
      <c r="T35" s="506"/>
      <c r="U35" s="603"/>
      <c r="V35" s="530"/>
      <c r="W35" s="506"/>
      <c r="X35" s="603"/>
      <c r="Y35" s="530"/>
      <c r="Z35" s="506"/>
      <c r="AA35" s="604" t="str">
        <f t="shared" si="0"/>
        <v/>
      </c>
      <c r="AB35"/>
      <c r="AC35"/>
    </row>
    <row r="36" spans="2:29" s="410" customFormat="1" x14ac:dyDescent="0.2">
      <c r="B36" s="169">
        <v>17</v>
      </c>
      <c r="C36" s="517"/>
      <c r="D36" s="519"/>
      <c r="E36" s="522"/>
      <c r="F36" s="600"/>
      <c r="G36" s="600"/>
      <c r="H36" s="522"/>
      <c r="I36" s="524"/>
      <c r="J36" s="524"/>
      <c r="K36" s="522"/>
      <c r="L36" s="522"/>
      <c r="M36" s="522"/>
      <c r="N36" s="522"/>
      <c r="O36" s="522"/>
      <c r="P36" s="522"/>
      <c r="Q36" s="522"/>
      <c r="R36" s="601"/>
      <c r="S36" s="602"/>
      <c r="T36" s="506"/>
      <c r="U36" s="603"/>
      <c r="V36" s="530"/>
      <c r="W36" s="506"/>
      <c r="X36" s="603"/>
      <c r="Y36" s="530"/>
      <c r="Z36" s="506"/>
      <c r="AA36" s="604" t="str">
        <f t="shared" si="0"/>
        <v/>
      </c>
      <c r="AB36"/>
      <c r="AC36"/>
    </row>
    <row r="37" spans="2:29" s="410" customFormat="1" x14ac:dyDescent="0.2">
      <c r="B37" s="169">
        <v>18</v>
      </c>
      <c r="C37" s="517"/>
      <c r="D37" s="519"/>
      <c r="E37" s="522"/>
      <c r="F37" s="600"/>
      <c r="G37" s="600"/>
      <c r="H37" s="522"/>
      <c r="I37" s="524"/>
      <c r="J37" s="524"/>
      <c r="K37" s="522"/>
      <c r="L37" s="522"/>
      <c r="M37" s="522"/>
      <c r="N37" s="522"/>
      <c r="O37" s="522"/>
      <c r="P37" s="522"/>
      <c r="Q37" s="522"/>
      <c r="R37" s="601"/>
      <c r="S37" s="602"/>
      <c r="T37" s="506"/>
      <c r="U37" s="603"/>
      <c r="V37" s="530"/>
      <c r="W37" s="506"/>
      <c r="X37" s="603"/>
      <c r="Y37" s="530"/>
      <c r="Z37" s="506"/>
      <c r="AA37" s="604" t="str">
        <f t="shared" si="0"/>
        <v/>
      </c>
      <c r="AB37"/>
      <c r="AC37"/>
    </row>
    <row r="38" spans="2:29" s="410" customFormat="1" x14ac:dyDescent="0.2">
      <c r="B38" s="169">
        <v>19</v>
      </c>
      <c r="C38" s="517"/>
      <c r="D38" s="519"/>
      <c r="E38" s="522"/>
      <c r="F38" s="600"/>
      <c r="G38" s="600"/>
      <c r="H38" s="522"/>
      <c r="I38" s="524"/>
      <c r="J38" s="524"/>
      <c r="K38" s="522"/>
      <c r="L38" s="522"/>
      <c r="M38" s="522"/>
      <c r="N38" s="522"/>
      <c r="O38" s="522"/>
      <c r="P38" s="522"/>
      <c r="Q38" s="522"/>
      <c r="R38" s="601"/>
      <c r="S38" s="602"/>
      <c r="T38" s="506"/>
      <c r="U38" s="603"/>
      <c r="V38" s="530"/>
      <c r="W38" s="506"/>
      <c r="X38" s="603"/>
      <c r="Y38" s="530"/>
      <c r="Z38" s="506"/>
      <c r="AA38" s="604" t="str">
        <f t="shared" si="0"/>
        <v/>
      </c>
      <c r="AB38"/>
      <c r="AC38"/>
    </row>
    <row r="39" spans="2:29" s="410" customFormat="1" x14ac:dyDescent="0.2">
      <c r="B39" s="169">
        <v>20</v>
      </c>
      <c r="C39" s="517"/>
      <c r="D39" s="519"/>
      <c r="E39" s="522"/>
      <c r="F39" s="600"/>
      <c r="G39" s="600"/>
      <c r="H39" s="522"/>
      <c r="I39" s="524"/>
      <c r="J39" s="524"/>
      <c r="K39" s="522"/>
      <c r="L39" s="522"/>
      <c r="M39" s="522"/>
      <c r="N39" s="522"/>
      <c r="O39" s="522"/>
      <c r="P39" s="522"/>
      <c r="Q39" s="522"/>
      <c r="R39" s="601"/>
      <c r="S39" s="602"/>
      <c r="T39" s="506"/>
      <c r="U39" s="603"/>
      <c r="V39" s="530"/>
      <c r="W39" s="506"/>
      <c r="X39" s="603"/>
      <c r="Y39" s="530"/>
      <c r="Z39" s="506"/>
      <c r="AA39" s="604" t="str">
        <f t="shared" si="0"/>
        <v/>
      </c>
      <c r="AB39"/>
      <c r="AC39"/>
    </row>
    <row r="40" spans="2:29" s="410" customFormat="1" x14ac:dyDescent="0.2">
      <c r="B40" s="169">
        <v>21</v>
      </c>
      <c r="C40" s="517"/>
      <c r="D40" s="519"/>
      <c r="E40" s="522"/>
      <c r="F40" s="600"/>
      <c r="G40" s="600"/>
      <c r="H40" s="522"/>
      <c r="I40" s="524"/>
      <c r="J40" s="524"/>
      <c r="K40" s="522"/>
      <c r="L40" s="522"/>
      <c r="M40" s="522"/>
      <c r="N40" s="522"/>
      <c r="O40" s="522"/>
      <c r="P40" s="522"/>
      <c r="Q40" s="522"/>
      <c r="R40" s="601"/>
      <c r="S40" s="602"/>
      <c r="T40" s="506"/>
      <c r="U40" s="603"/>
      <c r="V40" s="530"/>
      <c r="W40" s="506"/>
      <c r="X40" s="603"/>
      <c r="Y40" s="530"/>
      <c r="Z40" s="506"/>
      <c r="AA40" s="604" t="str">
        <f t="shared" si="0"/>
        <v/>
      </c>
      <c r="AB40"/>
      <c r="AC40"/>
    </row>
    <row r="41" spans="2:29" s="410" customFormat="1" x14ac:dyDescent="0.2">
      <c r="B41" s="169">
        <v>22</v>
      </c>
      <c r="C41" s="517"/>
      <c r="D41" s="519"/>
      <c r="E41" s="522"/>
      <c r="F41" s="600"/>
      <c r="G41" s="600"/>
      <c r="H41" s="522"/>
      <c r="I41" s="524"/>
      <c r="J41" s="524"/>
      <c r="K41" s="522"/>
      <c r="L41" s="522"/>
      <c r="M41" s="522"/>
      <c r="N41" s="522"/>
      <c r="O41" s="522"/>
      <c r="P41" s="522"/>
      <c r="Q41" s="522"/>
      <c r="R41" s="601"/>
      <c r="S41" s="602"/>
      <c r="T41" s="506"/>
      <c r="U41" s="603"/>
      <c r="V41" s="530"/>
      <c r="W41" s="506"/>
      <c r="X41" s="603"/>
      <c r="Y41" s="530"/>
      <c r="Z41" s="506"/>
      <c r="AA41" s="604" t="str">
        <f t="shared" si="0"/>
        <v/>
      </c>
      <c r="AB41"/>
      <c r="AC41"/>
    </row>
    <row r="42" spans="2:29" s="410" customFormat="1" x14ac:dyDescent="0.2">
      <c r="B42" s="169">
        <v>23</v>
      </c>
      <c r="C42" s="517"/>
      <c r="D42" s="519"/>
      <c r="E42" s="522"/>
      <c r="F42" s="600"/>
      <c r="G42" s="600"/>
      <c r="H42" s="522"/>
      <c r="I42" s="524"/>
      <c r="J42" s="524"/>
      <c r="K42" s="522"/>
      <c r="L42" s="522"/>
      <c r="M42" s="522"/>
      <c r="N42" s="522"/>
      <c r="O42" s="522"/>
      <c r="P42" s="522"/>
      <c r="Q42" s="522"/>
      <c r="R42" s="601"/>
      <c r="S42" s="602"/>
      <c r="T42" s="506"/>
      <c r="U42" s="603"/>
      <c r="V42" s="530"/>
      <c r="W42" s="506"/>
      <c r="X42" s="603"/>
      <c r="Y42" s="530"/>
      <c r="Z42" s="506"/>
      <c r="AA42" s="604" t="str">
        <f t="shared" si="0"/>
        <v/>
      </c>
      <c r="AB42"/>
      <c r="AC42"/>
    </row>
    <row r="43" spans="2:29" s="410" customFormat="1" x14ac:dyDescent="0.2">
      <c r="B43" s="169">
        <v>24</v>
      </c>
      <c r="C43" s="517"/>
      <c r="D43" s="519"/>
      <c r="E43" s="522"/>
      <c r="F43" s="600"/>
      <c r="G43" s="600"/>
      <c r="H43" s="522"/>
      <c r="I43" s="524"/>
      <c r="J43" s="524"/>
      <c r="K43" s="522"/>
      <c r="L43" s="522"/>
      <c r="M43" s="522"/>
      <c r="N43" s="522"/>
      <c r="O43" s="522"/>
      <c r="P43" s="522"/>
      <c r="Q43" s="522"/>
      <c r="R43" s="601"/>
      <c r="S43" s="602"/>
      <c r="T43" s="506"/>
      <c r="U43" s="603"/>
      <c r="V43" s="530"/>
      <c r="W43" s="506"/>
      <c r="X43" s="603"/>
      <c r="Y43" s="530"/>
      <c r="Z43" s="506"/>
      <c r="AA43" s="604" t="str">
        <f t="shared" si="0"/>
        <v/>
      </c>
      <c r="AB43"/>
      <c r="AC43"/>
    </row>
    <row r="44" spans="2:29" s="410" customFormat="1" x14ac:dyDescent="0.2">
      <c r="B44" s="169">
        <v>25</v>
      </c>
      <c r="C44" s="517"/>
      <c r="D44" s="519"/>
      <c r="E44" s="522"/>
      <c r="F44" s="600"/>
      <c r="G44" s="600"/>
      <c r="H44" s="522"/>
      <c r="I44" s="524"/>
      <c r="J44" s="524"/>
      <c r="K44" s="522"/>
      <c r="L44" s="522"/>
      <c r="M44" s="522"/>
      <c r="N44" s="522"/>
      <c r="O44" s="522"/>
      <c r="P44" s="522"/>
      <c r="Q44" s="522"/>
      <c r="R44" s="601"/>
      <c r="S44" s="602"/>
      <c r="T44" s="506"/>
      <c r="U44" s="603"/>
      <c r="V44" s="530"/>
      <c r="W44" s="506"/>
      <c r="X44" s="603"/>
      <c r="Y44" s="530"/>
      <c r="Z44" s="506"/>
      <c r="AA44" s="604" t="str">
        <f t="shared" si="0"/>
        <v/>
      </c>
      <c r="AB44"/>
      <c r="AC44"/>
    </row>
    <row r="45" spans="2:29" s="410" customFormat="1" x14ac:dyDescent="0.2">
      <c r="B45" s="169">
        <v>26</v>
      </c>
      <c r="C45" s="517"/>
      <c r="D45" s="519"/>
      <c r="E45" s="522"/>
      <c r="F45" s="600"/>
      <c r="G45" s="600"/>
      <c r="H45" s="522"/>
      <c r="I45" s="524"/>
      <c r="J45" s="524"/>
      <c r="K45" s="522"/>
      <c r="L45" s="522"/>
      <c r="M45" s="522"/>
      <c r="N45" s="522"/>
      <c r="O45" s="522"/>
      <c r="P45" s="522"/>
      <c r="Q45" s="522"/>
      <c r="R45" s="601"/>
      <c r="S45" s="602"/>
      <c r="T45" s="506"/>
      <c r="U45" s="603"/>
      <c r="V45" s="530"/>
      <c r="W45" s="506"/>
      <c r="X45" s="603"/>
      <c r="Y45" s="530"/>
      <c r="Z45" s="506"/>
      <c r="AA45" s="604" t="str">
        <f t="shared" si="0"/>
        <v/>
      </c>
      <c r="AB45"/>
      <c r="AC45"/>
    </row>
    <row r="46" spans="2:29" s="410" customFormat="1" x14ac:dyDescent="0.2">
      <c r="B46" s="169">
        <v>27</v>
      </c>
      <c r="C46" s="517"/>
      <c r="D46" s="519"/>
      <c r="E46" s="522"/>
      <c r="F46" s="600"/>
      <c r="G46" s="600"/>
      <c r="H46" s="522"/>
      <c r="I46" s="524"/>
      <c r="J46" s="524"/>
      <c r="K46" s="522"/>
      <c r="L46" s="522"/>
      <c r="M46" s="522"/>
      <c r="N46" s="522"/>
      <c r="O46" s="522"/>
      <c r="P46" s="522"/>
      <c r="Q46" s="522"/>
      <c r="R46" s="601"/>
      <c r="S46" s="602"/>
      <c r="T46" s="506"/>
      <c r="U46" s="603"/>
      <c r="V46" s="530"/>
      <c r="W46" s="506"/>
      <c r="X46" s="603"/>
      <c r="Y46" s="530"/>
      <c r="Z46" s="506"/>
      <c r="AA46" s="604" t="str">
        <f t="shared" si="0"/>
        <v/>
      </c>
      <c r="AB46"/>
      <c r="AC46"/>
    </row>
    <row r="47" spans="2:29" s="410" customFormat="1" x14ac:dyDescent="0.2">
      <c r="B47" s="169">
        <v>28</v>
      </c>
      <c r="C47" s="517"/>
      <c r="D47" s="519"/>
      <c r="E47" s="522"/>
      <c r="F47" s="600"/>
      <c r="G47" s="600"/>
      <c r="H47" s="522"/>
      <c r="I47" s="524"/>
      <c r="J47" s="524"/>
      <c r="K47" s="522"/>
      <c r="L47" s="522"/>
      <c r="M47" s="522"/>
      <c r="N47" s="522"/>
      <c r="O47" s="522"/>
      <c r="P47" s="522"/>
      <c r="Q47" s="522"/>
      <c r="R47" s="601"/>
      <c r="S47" s="602"/>
      <c r="T47" s="506"/>
      <c r="U47" s="603"/>
      <c r="V47" s="530"/>
      <c r="W47" s="506"/>
      <c r="X47" s="603"/>
      <c r="Y47" s="530"/>
      <c r="Z47" s="506"/>
      <c r="AA47" s="604" t="str">
        <f t="shared" si="0"/>
        <v/>
      </c>
      <c r="AB47"/>
      <c r="AC47"/>
    </row>
    <row r="48" spans="2:29" s="410" customFormat="1" x14ac:dyDescent="0.2">
      <c r="B48" s="169">
        <v>29</v>
      </c>
      <c r="C48" s="517"/>
      <c r="D48" s="519"/>
      <c r="E48" s="522"/>
      <c r="F48" s="600"/>
      <c r="G48" s="600"/>
      <c r="H48" s="522"/>
      <c r="I48" s="524"/>
      <c r="J48" s="524"/>
      <c r="K48" s="522"/>
      <c r="L48" s="522"/>
      <c r="M48" s="522"/>
      <c r="N48" s="522"/>
      <c r="O48" s="522"/>
      <c r="P48" s="522"/>
      <c r="Q48" s="522"/>
      <c r="R48" s="601"/>
      <c r="S48" s="602"/>
      <c r="T48" s="506"/>
      <c r="U48" s="603"/>
      <c r="V48" s="530"/>
      <c r="W48" s="506"/>
      <c r="X48" s="603"/>
      <c r="Y48" s="530"/>
      <c r="Z48" s="506"/>
      <c r="AA48" s="604" t="str">
        <f t="shared" si="0"/>
        <v/>
      </c>
      <c r="AB48"/>
      <c r="AC48"/>
    </row>
    <row r="49" spans="2:29" s="410" customFormat="1" x14ac:dyDescent="0.2">
      <c r="B49" s="169">
        <v>30</v>
      </c>
      <c r="C49" s="517"/>
      <c r="D49" s="519"/>
      <c r="E49" s="522"/>
      <c r="F49" s="600"/>
      <c r="G49" s="600"/>
      <c r="H49" s="522"/>
      <c r="I49" s="524"/>
      <c r="J49" s="524"/>
      <c r="K49" s="522"/>
      <c r="L49" s="522"/>
      <c r="M49" s="522"/>
      <c r="N49" s="522"/>
      <c r="O49" s="522"/>
      <c r="P49" s="522"/>
      <c r="Q49" s="522"/>
      <c r="R49" s="601"/>
      <c r="S49" s="602"/>
      <c r="T49" s="506"/>
      <c r="U49" s="603"/>
      <c r="V49" s="530"/>
      <c r="W49" s="506"/>
      <c r="X49" s="603"/>
      <c r="Y49" s="530"/>
      <c r="Z49" s="506"/>
      <c r="AA49" s="604" t="str">
        <f t="shared" si="0"/>
        <v/>
      </c>
      <c r="AB49"/>
      <c r="AC49"/>
    </row>
    <row r="50" spans="2:29" s="410" customFormat="1" x14ac:dyDescent="0.2">
      <c r="B50" s="169">
        <v>31</v>
      </c>
      <c r="C50" s="517"/>
      <c r="D50" s="519"/>
      <c r="E50" s="522"/>
      <c r="F50" s="600"/>
      <c r="G50" s="600"/>
      <c r="H50" s="522"/>
      <c r="I50" s="524"/>
      <c r="J50" s="524"/>
      <c r="K50" s="522"/>
      <c r="L50" s="522"/>
      <c r="M50" s="522"/>
      <c r="N50" s="522"/>
      <c r="O50" s="522"/>
      <c r="P50" s="522"/>
      <c r="Q50" s="522"/>
      <c r="R50" s="601"/>
      <c r="S50" s="602"/>
      <c r="T50" s="506"/>
      <c r="U50" s="603"/>
      <c r="V50" s="530"/>
      <c r="W50" s="506"/>
      <c r="X50" s="603"/>
      <c r="Y50" s="530"/>
      <c r="Z50" s="506"/>
      <c r="AA50" s="604" t="str">
        <f t="shared" si="0"/>
        <v/>
      </c>
      <c r="AB50"/>
      <c r="AC50"/>
    </row>
    <row r="51" spans="2:29" s="410" customFormat="1" x14ac:dyDescent="0.2">
      <c r="B51" s="169">
        <v>32</v>
      </c>
      <c r="C51" s="517"/>
      <c r="D51" s="519"/>
      <c r="E51" s="522"/>
      <c r="F51" s="600"/>
      <c r="G51" s="600"/>
      <c r="H51" s="522"/>
      <c r="I51" s="524"/>
      <c r="J51" s="524"/>
      <c r="K51" s="522"/>
      <c r="L51" s="522"/>
      <c r="M51" s="522"/>
      <c r="N51" s="522"/>
      <c r="O51" s="522"/>
      <c r="P51" s="522"/>
      <c r="Q51" s="522"/>
      <c r="R51" s="601"/>
      <c r="S51" s="602"/>
      <c r="T51" s="506"/>
      <c r="U51" s="603"/>
      <c r="V51" s="530"/>
      <c r="W51" s="506"/>
      <c r="X51" s="603"/>
      <c r="Y51" s="530"/>
      <c r="Z51" s="506"/>
      <c r="AA51" s="604" t="str">
        <f t="shared" si="0"/>
        <v/>
      </c>
      <c r="AB51"/>
      <c r="AC51"/>
    </row>
    <row r="52" spans="2:29" s="410" customFormat="1" x14ac:dyDescent="0.2">
      <c r="B52" s="169">
        <v>33</v>
      </c>
      <c r="C52" s="517"/>
      <c r="D52" s="519"/>
      <c r="E52" s="522"/>
      <c r="F52" s="600"/>
      <c r="G52" s="600"/>
      <c r="H52" s="522"/>
      <c r="I52" s="524"/>
      <c r="J52" s="524"/>
      <c r="K52" s="522"/>
      <c r="L52" s="522"/>
      <c r="M52" s="522"/>
      <c r="N52" s="522"/>
      <c r="O52" s="522"/>
      <c r="P52" s="522"/>
      <c r="Q52" s="522"/>
      <c r="R52" s="601"/>
      <c r="S52" s="602"/>
      <c r="T52" s="506"/>
      <c r="U52" s="603"/>
      <c r="V52" s="530"/>
      <c r="W52" s="506"/>
      <c r="X52" s="603"/>
      <c r="Y52" s="530"/>
      <c r="Z52" s="506"/>
      <c r="AA52" s="604" t="str">
        <f t="shared" si="0"/>
        <v/>
      </c>
      <c r="AB52"/>
      <c r="AC52"/>
    </row>
    <row r="53" spans="2:29" s="410" customFormat="1" x14ac:dyDescent="0.2">
      <c r="B53" s="169">
        <v>34</v>
      </c>
      <c r="C53" s="517"/>
      <c r="D53" s="519"/>
      <c r="E53" s="522"/>
      <c r="F53" s="600"/>
      <c r="G53" s="600"/>
      <c r="H53" s="522"/>
      <c r="I53" s="524"/>
      <c r="J53" s="524"/>
      <c r="K53" s="522"/>
      <c r="L53" s="522"/>
      <c r="M53" s="522"/>
      <c r="N53" s="522"/>
      <c r="O53" s="522"/>
      <c r="P53" s="522"/>
      <c r="Q53" s="522"/>
      <c r="R53" s="601"/>
      <c r="S53" s="602"/>
      <c r="T53" s="506"/>
      <c r="U53" s="603"/>
      <c r="V53" s="530"/>
      <c r="W53" s="506"/>
      <c r="X53" s="603"/>
      <c r="Y53" s="530"/>
      <c r="Z53" s="506"/>
      <c r="AA53" s="604" t="str">
        <f t="shared" si="0"/>
        <v/>
      </c>
      <c r="AB53"/>
      <c r="AC53"/>
    </row>
    <row r="54" spans="2:29" s="410" customFormat="1" x14ac:dyDescent="0.2">
      <c r="B54" s="169">
        <v>35</v>
      </c>
      <c r="C54" s="517"/>
      <c r="D54" s="519"/>
      <c r="E54" s="522"/>
      <c r="F54" s="600"/>
      <c r="G54" s="600"/>
      <c r="H54" s="522"/>
      <c r="I54" s="524"/>
      <c r="J54" s="524"/>
      <c r="K54" s="522"/>
      <c r="L54" s="522"/>
      <c r="M54" s="522"/>
      <c r="N54" s="522"/>
      <c r="O54" s="522"/>
      <c r="P54" s="522"/>
      <c r="Q54" s="522"/>
      <c r="R54" s="601"/>
      <c r="S54" s="602"/>
      <c r="T54" s="506"/>
      <c r="U54" s="603"/>
      <c r="V54" s="530"/>
      <c r="W54" s="506"/>
      <c r="X54" s="603"/>
      <c r="Y54" s="530"/>
      <c r="Z54" s="506"/>
      <c r="AA54" s="604" t="str">
        <f t="shared" si="0"/>
        <v/>
      </c>
      <c r="AB54"/>
      <c r="AC54"/>
    </row>
    <row r="55" spans="2:29" s="410" customFormat="1" x14ac:dyDescent="0.2">
      <c r="B55" s="169">
        <v>36</v>
      </c>
      <c r="C55" s="517"/>
      <c r="D55" s="519"/>
      <c r="E55" s="522"/>
      <c r="F55" s="600"/>
      <c r="G55" s="600"/>
      <c r="H55" s="522"/>
      <c r="I55" s="524"/>
      <c r="J55" s="524"/>
      <c r="K55" s="522"/>
      <c r="L55" s="522"/>
      <c r="M55" s="522"/>
      <c r="N55" s="522"/>
      <c r="O55" s="522"/>
      <c r="P55" s="522"/>
      <c r="Q55" s="522"/>
      <c r="R55" s="601"/>
      <c r="S55" s="602"/>
      <c r="T55" s="506"/>
      <c r="U55" s="603"/>
      <c r="V55" s="530"/>
      <c r="W55" s="506"/>
      <c r="X55" s="603"/>
      <c r="Y55" s="530"/>
      <c r="Z55" s="506"/>
      <c r="AA55" s="604" t="str">
        <f t="shared" si="0"/>
        <v/>
      </c>
      <c r="AB55"/>
      <c r="AC55"/>
    </row>
    <row r="56" spans="2:29" s="410" customFormat="1" x14ac:dyDescent="0.2">
      <c r="B56" s="169">
        <v>37</v>
      </c>
      <c r="C56" s="517"/>
      <c r="D56" s="519"/>
      <c r="E56" s="522"/>
      <c r="F56" s="600"/>
      <c r="G56" s="600"/>
      <c r="H56" s="522"/>
      <c r="I56" s="524"/>
      <c r="J56" s="524"/>
      <c r="K56" s="522"/>
      <c r="L56" s="522"/>
      <c r="M56" s="522"/>
      <c r="N56" s="522"/>
      <c r="O56" s="522"/>
      <c r="P56" s="522"/>
      <c r="Q56" s="522"/>
      <c r="R56" s="601"/>
      <c r="S56" s="602"/>
      <c r="T56" s="506"/>
      <c r="U56" s="603"/>
      <c r="V56" s="530"/>
      <c r="W56" s="506"/>
      <c r="X56" s="603"/>
      <c r="Y56" s="530"/>
      <c r="Z56" s="506"/>
      <c r="AA56" s="604" t="str">
        <f t="shared" si="0"/>
        <v/>
      </c>
      <c r="AB56"/>
      <c r="AC56"/>
    </row>
    <row r="57" spans="2:29" s="410" customFormat="1" x14ac:dyDescent="0.2">
      <c r="B57" s="169">
        <v>38</v>
      </c>
      <c r="C57" s="517"/>
      <c r="D57" s="519"/>
      <c r="E57" s="522"/>
      <c r="F57" s="600"/>
      <c r="G57" s="600"/>
      <c r="H57" s="522"/>
      <c r="I57" s="524"/>
      <c r="J57" s="524"/>
      <c r="K57" s="522"/>
      <c r="L57" s="522"/>
      <c r="M57" s="522"/>
      <c r="N57" s="522"/>
      <c r="O57" s="522"/>
      <c r="P57" s="522"/>
      <c r="Q57" s="522"/>
      <c r="R57" s="601"/>
      <c r="S57" s="602"/>
      <c r="T57" s="506"/>
      <c r="U57" s="603"/>
      <c r="V57" s="530"/>
      <c r="W57" s="506"/>
      <c r="X57" s="603"/>
      <c r="Y57" s="530"/>
      <c r="Z57" s="506"/>
      <c r="AA57" s="604" t="str">
        <f t="shared" si="0"/>
        <v/>
      </c>
      <c r="AB57"/>
      <c r="AC57"/>
    </row>
    <row r="58" spans="2:29" s="410" customFormat="1" x14ac:dyDescent="0.2">
      <c r="B58" s="169">
        <v>39</v>
      </c>
      <c r="C58" s="517"/>
      <c r="D58" s="519"/>
      <c r="E58" s="522"/>
      <c r="F58" s="600"/>
      <c r="G58" s="600"/>
      <c r="H58" s="522"/>
      <c r="I58" s="524"/>
      <c r="J58" s="524"/>
      <c r="K58" s="522"/>
      <c r="L58" s="522"/>
      <c r="M58" s="522"/>
      <c r="N58" s="522"/>
      <c r="O58" s="522"/>
      <c r="P58" s="522"/>
      <c r="Q58" s="522"/>
      <c r="R58" s="601"/>
      <c r="S58" s="602"/>
      <c r="T58" s="506"/>
      <c r="U58" s="603"/>
      <c r="V58" s="530"/>
      <c r="W58" s="506"/>
      <c r="X58" s="603"/>
      <c r="Y58" s="530"/>
      <c r="Z58" s="506"/>
      <c r="AA58" s="604" t="str">
        <f t="shared" si="0"/>
        <v/>
      </c>
      <c r="AB58"/>
      <c r="AC58"/>
    </row>
    <row r="59" spans="2:29" s="410" customFormat="1" x14ac:dyDescent="0.2">
      <c r="B59" s="169">
        <v>40</v>
      </c>
      <c r="C59" s="517"/>
      <c r="D59" s="519"/>
      <c r="E59" s="522"/>
      <c r="F59" s="600"/>
      <c r="G59" s="600"/>
      <c r="H59" s="522"/>
      <c r="I59" s="524"/>
      <c r="J59" s="524"/>
      <c r="K59" s="522"/>
      <c r="L59" s="522"/>
      <c r="M59" s="522"/>
      <c r="N59" s="522"/>
      <c r="O59" s="522"/>
      <c r="P59" s="522"/>
      <c r="Q59" s="522"/>
      <c r="R59" s="601"/>
      <c r="S59" s="602"/>
      <c r="T59" s="506"/>
      <c r="U59" s="603"/>
      <c r="V59" s="530"/>
      <c r="W59" s="506"/>
      <c r="X59" s="603"/>
      <c r="Y59" s="530"/>
      <c r="Z59" s="506"/>
      <c r="AA59" s="604" t="str">
        <f t="shared" si="0"/>
        <v/>
      </c>
      <c r="AB59"/>
      <c r="AC59"/>
    </row>
    <row r="60" spans="2:29" s="410" customFormat="1" x14ac:dyDescent="0.2">
      <c r="B60" s="169">
        <v>41</v>
      </c>
      <c r="C60" s="517"/>
      <c r="D60" s="519"/>
      <c r="E60" s="522"/>
      <c r="F60" s="600"/>
      <c r="G60" s="600"/>
      <c r="H60" s="522"/>
      <c r="I60" s="524"/>
      <c r="J60" s="524"/>
      <c r="K60" s="522"/>
      <c r="L60" s="522"/>
      <c r="M60" s="522"/>
      <c r="N60" s="522"/>
      <c r="O60" s="522"/>
      <c r="P60" s="522"/>
      <c r="Q60" s="522"/>
      <c r="R60" s="601"/>
      <c r="S60" s="602"/>
      <c r="T60" s="506"/>
      <c r="U60" s="603"/>
      <c r="V60" s="530"/>
      <c r="W60" s="506"/>
      <c r="X60" s="603"/>
      <c r="Y60" s="530"/>
      <c r="Z60" s="506"/>
      <c r="AA60" s="604" t="str">
        <f t="shared" si="0"/>
        <v/>
      </c>
      <c r="AB60"/>
      <c r="AC60"/>
    </row>
    <row r="61" spans="2:29" s="410" customFormat="1" x14ac:dyDescent="0.2">
      <c r="B61" s="169">
        <v>42</v>
      </c>
      <c r="C61" s="517"/>
      <c r="D61" s="519"/>
      <c r="E61" s="522"/>
      <c r="F61" s="600"/>
      <c r="G61" s="600"/>
      <c r="H61" s="522"/>
      <c r="I61" s="524"/>
      <c r="J61" s="524"/>
      <c r="K61" s="522"/>
      <c r="L61" s="522"/>
      <c r="M61" s="522"/>
      <c r="N61" s="522"/>
      <c r="O61" s="522"/>
      <c r="P61" s="522"/>
      <c r="Q61" s="522"/>
      <c r="R61" s="601"/>
      <c r="S61" s="602"/>
      <c r="T61" s="506"/>
      <c r="U61" s="603"/>
      <c r="V61" s="530"/>
      <c r="W61" s="506"/>
      <c r="X61" s="603"/>
      <c r="Y61" s="530"/>
      <c r="Z61" s="506"/>
      <c r="AA61" s="604" t="str">
        <f t="shared" si="0"/>
        <v/>
      </c>
      <c r="AB61"/>
      <c r="AC61"/>
    </row>
    <row r="62" spans="2:29" s="410" customFormat="1" x14ac:dyDescent="0.2">
      <c r="B62" s="169">
        <v>43</v>
      </c>
      <c r="C62" s="517"/>
      <c r="D62" s="519"/>
      <c r="E62" s="522"/>
      <c r="F62" s="600"/>
      <c r="G62" s="600"/>
      <c r="H62" s="522"/>
      <c r="I62" s="524"/>
      <c r="J62" s="524"/>
      <c r="K62" s="522"/>
      <c r="L62" s="522"/>
      <c r="M62" s="522"/>
      <c r="N62" s="522"/>
      <c r="O62" s="522"/>
      <c r="P62" s="522"/>
      <c r="Q62" s="522"/>
      <c r="R62" s="601"/>
      <c r="S62" s="602"/>
      <c r="T62" s="506"/>
      <c r="U62" s="603"/>
      <c r="V62" s="530"/>
      <c r="W62" s="506"/>
      <c r="X62" s="603"/>
      <c r="Y62" s="530"/>
      <c r="Z62" s="506"/>
      <c r="AA62" s="604" t="str">
        <f t="shared" si="0"/>
        <v/>
      </c>
      <c r="AB62"/>
      <c r="AC62"/>
    </row>
    <row r="63" spans="2:29" s="410" customFormat="1" x14ac:dyDescent="0.2">
      <c r="B63" s="169">
        <v>44</v>
      </c>
      <c r="C63" s="517"/>
      <c r="D63" s="519"/>
      <c r="E63" s="522"/>
      <c r="F63" s="600"/>
      <c r="G63" s="600"/>
      <c r="H63" s="522"/>
      <c r="I63" s="524"/>
      <c r="J63" s="524"/>
      <c r="K63" s="522"/>
      <c r="L63" s="522"/>
      <c r="M63" s="522"/>
      <c r="N63" s="522"/>
      <c r="O63" s="522"/>
      <c r="P63" s="522"/>
      <c r="Q63" s="522"/>
      <c r="R63" s="601"/>
      <c r="S63" s="602"/>
      <c r="T63" s="506"/>
      <c r="U63" s="603"/>
      <c r="V63" s="530"/>
      <c r="W63" s="506"/>
      <c r="X63" s="603"/>
      <c r="Y63" s="530"/>
      <c r="Z63" s="506"/>
      <c r="AA63" s="604" t="str">
        <f t="shared" si="0"/>
        <v/>
      </c>
      <c r="AB63"/>
      <c r="AC63"/>
    </row>
    <row r="64" spans="2:29" s="410" customFormat="1" x14ac:dyDescent="0.2">
      <c r="B64" s="169">
        <v>45</v>
      </c>
      <c r="C64" s="517"/>
      <c r="D64" s="519"/>
      <c r="E64" s="522"/>
      <c r="F64" s="600"/>
      <c r="G64" s="600"/>
      <c r="H64" s="522"/>
      <c r="I64" s="524"/>
      <c r="J64" s="524"/>
      <c r="K64" s="522"/>
      <c r="L64" s="522"/>
      <c r="M64" s="522"/>
      <c r="N64" s="522"/>
      <c r="O64" s="522"/>
      <c r="P64" s="522"/>
      <c r="Q64" s="522"/>
      <c r="R64" s="601"/>
      <c r="S64" s="602"/>
      <c r="T64" s="506"/>
      <c r="U64" s="603"/>
      <c r="V64" s="530"/>
      <c r="W64" s="506"/>
      <c r="X64" s="603"/>
      <c r="Y64" s="530"/>
      <c r="Z64" s="506"/>
      <c r="AA64" s="604" t="str">
        <f t="shared" si="0"/>
        <v/>
      </c>
      <c r="AB64"/>
      <c r="AC64"/>
    </row>
    <row r="65" spans="2:29" s="410" customFormat="1" x14ac:dyDescent="0.2">
      <c r="B65" s="169">
        <v>46</v>
      </c>
      <c r="C65" s="517"/>
      <c r="D65" s="519"/>
      <c r="E65" s="522"/>
      <c r="F65" s="600"/>
      <c r="G65" s="600"/>
      <c r="H65" s="522"/>
      <c r="I65" s="524"/>
      <c r="J65" s="524"/>
      <c r="K65" s="522"/>
      <c r="L65" s="522"/>
      <c r="M65" s="522"/>
      <c r="N65" s="522"/>
      <c r="O65" s="522"/>
      <c r="P65" s="522"/>
      <c r="Q65" s="522"/>
      <c r="R65" s="601"/>
      <c r="S65" s="602"/>
      <c r="T65" s="506"/>
      <c r="U65" s="603"/>
      <c r="V65" s="530"/>
      <c r="W65" s="506"/>
      <c r="X65" s="603"/>
      <c r="Y65" s="530"/>
      <c r="Z65" s="506"/>
      <c r="AA65" s="604" t="str">
        <f t="shared" si="0"/>
        <v/>
      </c>
      <c r="AB65"/>
      <c r="AC65"/>
    </row>
    <row r="66" spans="2:29" s="410" customFormat="1" x14ac:dyDescent="0.2">
      <c r="B66" s="169">
        <v>47</v>
      </c>
      <c r="C66" s="517"/>
      <c r="D66" s="519"/>
      <c r="E66" s="522"/>
      <c r="F66" s="600"/>
      <c r="G66" s="600"/>
      <c r="H66" s="522"/>
      <c r="I66" s="524"/>
      <c r="J66" s="524"/>
      <c r="K66" s="522"/>
      <c r="L66" s="522"/>
      <c r="M66" s="522"/>
      <c r="N66" s="522"/>
      <c r="O66" s="522"/>
      <c r="P66" s="522"/>
      <c r="Q66" s="522"/>
      <c r="R66" s="601"/>
      <c r="S66" s="602"/>
      <c r="T66" s="506"/>
      <c r="U66" s="603"/>
      <c r="V66" s="530"/>
      <c r="W66" s="506"/>
      <c r="X66" s="603"/>
      <c r="Y66" s="530"/>
      <c r="Z66" s="506"/>
      <c r="AA66" s="604" t="str">
        <f t="shared" si="0"/>
        <v/>
      </c>
      <c r="AB66"/>
      <c r="AC66"/>
    </row>
    <row r="67" spans="2:29" s="410" customFormat="1" x14ac:dyDescent="0.2">
      <c r="B67" s="169">
        <v>48</v>
      </c>
      <c r="C67" s="517"/>
      <c r="D67" s="519"/>
      <c r="E67" s="522"/>
      <c r="F67" s="600"/>
      <c r="G67" s="600"/>
      <c r="H67" s="522"/>
      <c r="I67" s="524"/>
      <c r="J67" s="524"/>
      <c r="K67" s="522"/>
      <c r="L67" s="522"/>
      <c r="M67" s="522"/>
      <c r="N67" s="522"/>
      <c r="O67" s="522"/>
      <c r="P67" s="522"/>
      <c r="Q67" s="522"/>
      <c r="R67" s="601"/>
      <c r="S67" s="602"/>
      <c r="T67" s="506"/>
      <c r="U67" s="603"/>
      <c r="V67" s="530"/>
      <c r="W67" s="506"/>
      <c r="X67" s="603"/>
      <c r="Y67" s="530"/>
      <c r="Z67" s="506"/>
      <c r="AA67" s="604" t="str">
        <f t="shared" si="0"/>
        <v/>
      </c>
      <c r="AB67"/>
      <c r="AC67"/>
    </row>
    <row r="68" spans="2:29" s="410" customFormat="1" x14ac:dyDescent="0.2">
      <c r="B68" s="169">
        <v>49</v>
      </c>
      <c r="C68" s="517"/>
      <c r="D68" s="519"/>
      <c r="E68" s="522"/>
      <c r="F68" s="600"/>
      <c r="G68" s="600"/>
      <c r="H68" s="522"/>
      <c r="I68" s="524"/>
      <c r="J68" s="524"/>
      <c r="K68" s="522"/>
      <c r="L68" s="522"/>
      <c r="M68" s="522"/>
      <c r="N68" s="522"/>
      <c r="O68" s="522"/>
      <c r="P68" s="522"/>
      <c r="Q68" s="522"/>
      <c r="R68" s="601"/>
      <c r="S68" s="602"/>
      <c r="T68" s="506"/>
      <c r="U68" s="603"/>
      <c r="V68" s="530"/>
      <c r="W68" s="506"/>
      <c r="X68" s="603"/>
      <c r="Y68" s="530"/>
      <c r="Z68" s="506"/>
      <c r="AA68" s="604" t="str">
        <f t="shared" si="0"/>
        <v/>
      </c>
      <c r="AB68"/>
      <c r="AC68"/>
    </row>
    <row r="69" spans="2:29" s="410" customFormat="1" x14ac:dyDescent="0.2">
      <c r="B69" s="169">
        <v>50</v>
      </c>
      <c r="C69" s="517"/>
      <c r="D69" s="519"/>
      <c r="E69" s="522"/>
      <c r="F69" s="600"/>
      <c r="G69" s="600"/>
      <c r="H69" s="522"/>
      <c r="I69" s="524"/>
      <c r="J69" s="524"/>
      <c r="K69" s="522"/>
      <c r="L69" s="522"/>
      <c r="M69" s="522"/>
      <c r="N69" s="522"/>
      <c r="O69" s="522"/>
      <c r="P69" s="522"/>
      <c r="Q69" s="522"/>
      <c r="R69" s="601"/>
      <c r="S69" s="602"/>
      <c r="T69" s="506"/>
      <c r="U69" s="603"/>
      <c r="V69" s="530"/>
      <c r="W69" s="506"/>
      <c r="X69" s="603"/>
      <c r="Y69" s="530"/>
      <c r="Z69" s="506"/>
      <c r="AA69" s="604" t="str">
        <f t="shared" si="0"/>
        <v/>
      </c>
      <c r="AB69"/>
      <c r="AC69"/>
    </row>
    <row r="70" spans="2:29" s="410" customFormat="1" x14ac:dyDescent="0.2">
      <c r="B70" s="169">
        <v>51</v>
      </c>
      <c r="C70" s="517"/>
      <c r="D70" s="519"/>
      <c r="E70" s="522"/>
      <c r="F70" s="600"/>
      <c r="G70" s="600"/>
      <c r="H70" s="522"/>
      <c r="I70" s="524"/>
      <c r="J70" s="524"/>
      <c r="K70" s="522"/>
      <c r="L70" s="522"/>
      <c r="M70" s="522"/>
      <c r="N70" s="522"/>
      <c r="O70" s="522"/>
      <c r="P70" s="522"/>
      <c r="Q70" s="522"/>
      <c r="R70" s="601"/>
      <c r="S70" s="602"/>
      <c r="T70" s="506"/>
      <c r="U70" s="603"/>
      <c r="V70" s="530"/>
      <c r="W70" s="506"/>
      <c r="X70" s="603"/>
      <c r="Y70" s="530"/>
      <c r="Z70" s="506"/>
      <c r="AA70" s="604" t="str">
        <f t="shared" si="0"/>
        <v/>
      </c>
      <c r="AB70"/>
      <c r="AC70"/>
    </row>
    <row r="71" spans="2:29" s="410" customFormat="1" x14ac:dyDescent="0.2">
      <c r="B71" s="169">
        <v>52</v>
      </c>
      <c r="C71" s="517"/>
      <c r="D71" s="519"/>
      <c r="E71" s="522"/>
      <c r="F71" s="600"/>
      <c r="G71" s="600"/>
      <c r="H71" s="522"/>
      <c r="I71" s="524"/>
      <c r="J71" s="524"/>
      <c r="K71" s="522"/>
      <c r="L71" s="522"/>
      <c r="M71" s="522"/>
      <c r="N71" s="522"/>
      <c r="O71" s="522"/>
      <c r="P71" s="522"/>
      <c r="Q71" s="522"/>
      <c r="R71" s="601"/>
      <c r="S71" s="602"/>
      <c r="T71" s="506"/>
      <c r="U71" s="603"/>
      <c r="V71" s="530"/>
      <c r="W71" s="506"/>
      <c r="X71" s="603"/>
      <c r="Y71" s="530"/>
      <c r="Z71" s="506"/>
      <c r="AA71" s="604" t="str">
        <f t="shared" si="0"/>
        <v/>
      </c>
      <c r="AB71"/>
      <c r="AC71"/>
    </row>
    <row r="72" spans="2:29" s="410" customFormat="1" x14ac:dyDescent="0.2">
      <c r="B72" s="169">
        <v>53</v>
      </c>
      <c r="C72" s="517"/>
      <c r="D72" s="519"/>
      <c r="E72" s="522"/>
      <c r="F72" s="600"/>
      <c r="G72" s="600"/>
      <c r="H72" s="522"/>
      <c r="I72" s="524"/>
      <c r="J72" s="524"/>
      <c r="K72" s="522"/>
      <c r="L72" s="522"/>
      <c r="M72" s="522"/>
      <c r="N72" s="522"/>
      <c r="O72" s="522"/>
      <c r="P72" s="522"/>
      <c r="Q72" s="522"/>
      <c r="R72" s="601"/>
      <c r="S72" s="602"/>
      <c r="T72" s="506"/>
      <c r="U72" s="603"/>
      <c r="V72" s="530"/>
      <c r="W72" s="506"/>
      <c r="X72" s="603"/>
      <c r="Y72" s="530"/>
      <c r="Z72" s="506"/>
      <c r="AA72" s="604" t="str">
        <f t="shared" si="0"/>
        <v/>
      </c>
      <c r="AB72"/>
      <c r="AC72"/>
    </row>
    <row r="73" spans="2:29" s="410" customFormat="1" x14ac:dyDescent="0.2">
      <c r="B73" s="169">
        <v>54</v>
      </c>
      <c r="C73" s="517"/>
      <c r="D73" s="519"/>
      <c r="E73" s="522"/>
      <c r="F73" s="600"/>
      <c r="G73" s="600"/>
      <c r="H73" s="522"/>
      <c r="I73" s="524"/>
      <c r="J73" s="524"/>
      <c r="K73" s="522"/>
      <c r="L73" s="522"/>
      <c r="M73" s="522"/>
      <c r="N73" s="522"/>
      <c r="O73" s="522"/>
      <c r="P73" s="522"/>
      <c r="Q73" s="522"/>
      <c r="R73" s="601"/>
      <c r="S73" s="602"/>
      <c r="T73" s="506"/>
      <c r="U73" s="603"/>
      <c r="V73" s="530"/>
      <c r="W73" s="506"/>
      <c r="X73" s="603"/>
      <c r="Y73" s="530"/>
      <c r="Z73" s="506"/>
      <c r="AA73" s="604" t="str">
        <f t="shared" si="0"/>
        <v/>
      </c>
      <c r="AB73"/>
      <c r="AC73"/>
    </row>
    <row r="74" spans="2:29" s="410" customFormat="1" x14ac:dyDescent="0.2">
      <c r="B74" s="169">
        <v>55</v>
      </c>
      <c r="C74" s="517"/>
      <c r="D74" s="519"/>
      <c r="E74" s="522"/>
      <c r="F74" s="600"/>
      <c r="G74" s="600"/>
      <c r="H74" s="522"/>
      <c r="I74" s="524"/>
      <c r="J74" s="524"/>
      <c r="K74" s="522"/>
      <c r="L74" s="522"/>
      <c r="M74" s="522"/>
      <c r="N74" s="522"/>
      <c r="O74" s="522"/>
      <c r="P74" s="522"/>
      <c r="Q74" s="522"/>
      <c r="R74" s="601"/>
      <c r="S74" s="602"/>
      <c r="T74" s="506"/>
      <c r="U74" s="603"/>
      <c r="V74" s="530"/>
      <c r="W74" s="506"/>
      <c r="X74" s="603"/>
      <c r="Y74" s="530"/>
      <c r="Z74" s="506"/>
      <c r="AA74" s="604" t="str">
        <f t="shared" si="0"/>
        <v/>
      </c>
      <c r="AB74"/>
      <c r="AC74"/>
    </row>
    <row r="75" spans="2:29" s="410" customFormat="1" x14ac:dyDescent="0.2">
      <c r="B75" s="169">
        <v>56</v>
      </c>
      <c r="C75" s="517"/>
      <c r="D75" s="519"/>
      <c r="E75" s="522"/>
      <c r="F75" s="600"/>
      <c r="G75" s="600"/>
      <c r="H75" s="522"/>
      <c r="I75" s="524"/>
      <c r="J75" s="524"/>
      <c r="K75" s="522"/>
      <c r="L75" s="522"/>
      <c r="M75" s="522"/>
      <c r="N75" s="522"/>
      <c r="O75" s="522"/>
      <c r="P75" s="522"/>
      <c r="Q75" s="522"/>
      <c r="R75" s="601"/>
      <c r="S75" s="602"/>
      <c r="T75" s="506"/>
      <c r="U75" s="603"/>
      <c r="V75" s="530"/>
      <c r="W75" s="506"/>
      <c r="X75" s="603"/>
      <c r="Y75" s="530"/>
      <c r="Z75" s="506"/>
      <c r="AA75" s="604" t="str">
        <f t="shared" si="0"/>
        <v/>
      </c>
      <c r="AB75"/>
      <c r="AC75"/>
    </row>
    <row r="76" spans="2:29" s="410" customFormat="1" x14ac:dyDescent="0.2">
      <c r="B76" s="169">
        <v>57</v>
      </c>
      <c r="C76" s="517"/>
      <c r="D76" s="519"/>
      <c r="E76" s="522"/>
      <c r="F76" s="600"/>
      <c r="G76" s="600"/>
      <c r="H76" s="522"/>
      <c r="I76" s="524"/>
      <c r="J76" s="524"/>
      <c r="K76" s="522"/>
      <c r="L76" s="522"/>
      <c r="M76" s="522"/>
      <c r="N76" s="522"/>
      <c r="O76" s="522"/>
      <c r="P76" s="522"/>
      <c r="Q76" s="522"/>
      <c r="R76" s="601"/>
      <c r="S76" s="602"/>
      <c r="T76" s="506"/>
      <c r="U76" s="603"/>
      <c r="V76" s="530"/>
      <c r="W76" s="506"/>
      <c r="X76" s="603"/>
      <c r="Y76" s="530"/>
      <c r="Z76" s="506"/>
      <c r="AA76" s="604" t="str">
        <f t="shared" si="0"/>
        <v/>
      </c>
      <c r="AB76"/>
      <c r="AC76"/>
    </row>
    <row r="77" spans="2:29" s="410" customFormat="1" x14ac:dyDescent="0.2">
      <c r="B77" s="169">
        <v>58</v>
      </c>
      <c r="C77" s="517"/>
      <c r="D77" s="519"/>
      <c r="E77" s="522"/>
      <c r="F77" s="600"/>
      <c r="G77" s="600"/>
      <c r="H77" s="522"/>
      <c r="I77" s="524"/>
      <c r="J77" s="524"/>
      <c r="K77" s="522"/>
      <c r="L77" s="522"/>
      <c r="M77" s="522"/>
      <c r="N77" s="522"/>
      <c r="O77" s="522"/>
      <c r="P77" s="522"/>
      <c r="Q77" s="522"/>
      <c r="R77" s="601"/>
      <c r="S77" s="602"/>
      <c r="T77" s="506"/>
      <c r="U77" s="603"/>
      <c r="V77" s="530"/>
      <c r="W77" s="506"/>
      <c r="X77" s="603"/>
      <c r="Y77" s="530"/>
      <c r="Z77" s="506"/>
      <c r="AA77" s="604" t="str">
        <f t="shared" si="0"/>
        <v/>
      </c>
      <c r="AB77"/>
      <c r="AC77"/>
    </row>
    <row r="78" spans="2:29" s="410" customFormat="1" x14ac:dyDescent="0.2">
      <c r="B78" s="169">
        <v>59</v>
      </c>
      <c r="C78" s="517"/>
      <c r="D78" s="519"/>
      <c r="E78" s="522"/>
      <c r="F78" s="600"/>
      <c r="G78" s="600"/>
      <c r="H78" s="522"/>
      <c r="I78" s="524"/>
      <c r="J78" s="524"/>
      <c r="K78" s="522"/>
      <c r="L78" s="522"/>
      <c r="M78" s="522"/>
      <c r="N78" s="522"/>
      <c r="O78" s="522"/>
      <c r="P78" s="522"/>
      <c r="Q78" s="522"/>
      <c r="R78" s="601"/>
      <c r="S78" s="602"/>
      <c r="T78" s="506"/>
      <c r="U78" s="603"/>
      <c r="V78" s="530"/>
      <c r="W78" s="506"/>
      <c r="X78" s="603"/>
      <c r="Y78" s="530"/>
      <c r="Z78" s="506"/>
      <c r="AA78" s="604" t="str">
        <f t="shared" si="0"/>
        <v/>
      </c>
      <c r="AB78"/>
      <c r="AC78"/>
    </row>
    <row r="79" spans="2:29" s="410" customFormat="1" x14ac:dyDescent="0.2">
      <c r="B79" s="169">
        <v>60</v>
      </c>
      <c r="C79" s="517"/>
      <c r="D79" s="519"/>
      <c r="E79" s="522"/>
      <c r="F79" s="600"/>
      <c r="G79" s="600"/>
      <c r="H79" s="522"/>
      <c r="I79" s="524"/>
      <c r="J79" s="524"/>
      <c r="K79" s="522"/>
      <c r="L79" s="522"/>
      <c r="M79" s="522"/>
      <c r="N79" s="522"/>
      <c r="O79" s="522"/>
      <c r="P79" s="522"/>
      <c r="Q79" s="522"/>
      <c r="R79" s="601"/>
      <c r="S79" s="602"/>
      <c r="T79" s="506"/>
      <c r="U79" s="603"/>
      <c r="V79" s="530"/>
      <c r="W79" s="506"/>
      <c r="X79" s="603"/>
      <c r="Y79" s="530"/>
      <c r="Z79" s="506"/>
      <c r="AA79" s="604" t="str">
        <f t="shared" si="0"/>
        <v/>
      </c>
      <c r="AB79"/>
      <c r="AC79"/>
    </row>
    <row r="80" spans="2:29" s="410" customFormat="1" x14ac:dyDescent="0.2">
      <c r="B80" s="169">
        <v>61</v>
      </c>
      <c r="C80" s="517"/>
      <c r="D80" s="519"/>
      <c r="E80" s="522"/>
      <c r="F80" s="600"/>
      <c r="G80" s="600"/>
      <c r="H80" s="522"/>
      <c r="I80" s="524"/>
      <c r="J80" s="524"/>
      <c r="K80" s="522"/>
      <c r="L80" s="522"/>
      <c r="M80" s="522"/>
      <c r="N80" s="522"/>
      <c r="O80" s="522"/>
      <c r="P80" s="522"/>
      <c r="Q80" s="522"/>
      <c r="R80" s="601"/>
      <c r="S80" s="602"/>
      <c r="T80" s="506"/>
      <c r="U80" s="603"/>
      <c r="V80" s="530"/>
      <c r="W80" s="506"/>
      <c r="X80" s="603"/>
      <c r="Y80" s="530"/>
      <c r="Z80" s="506"/>
      <c r="AA80" s="604" t="str">
        <f t="shared" si="0"/>
        <v/>
      </c>
      <c r="AB80"/>
      <c r="AC80"/>
    </row>
    <row r="81" spans="2:29" s="410" customFormat="1" x14ac:dyDescent="0.2">
      <c r="B81" s="169">
        <v>62</v>
      </c>
      <c r="C81" s="517"/>
      <c r="D81" s="519"/>
      <c r="E81" s="522"/>
      <c r="F81" s="600"/>
      <c r="G81" s="600"/>
      <c r="H81" s="522"/>
      <c r="I81" s="524"/>
      <c r="J81" s="524"/>
      <c r="K81" s="522"/>
      <c r="L81" s="522"/>
      <c r="M81" s="522"/>
      <c r="N81" s="522"/>
      <c r="O81" s="522"/>
      <c r="P81" s="522"/>
      <c r="Q81" s="522"/>
      <c r="R81" s="601"/>
      <c r="S81" s="602"/>
      <c r="T81" s="506"/>
      <c r="U81" s="603"/>
      <c r="V81" s="530"/>
      <c r="W81" s="506"/>
      <c r="X81" s="603"/>
      <c r="Y81" s="530"/>
      <c r="Z81" s="506"/>
      <c r="AA81" s="604" t="str">
        <f t="shared" si="0"/>
        <v/>
      </c>
      <c r="AB81"/>
      <c r="AC81"/>
    </row>
    <row r="82" spans="2:29" s="410" customFormat="1" x14ac:dyDescent="0.2">
      <c r="B82" s="169">
        <v>63</v>
      </c>
      <c r="C82" s="517"/>
      <c r="D82" s="519"/>
      <c r="E82" s="522"/>
      <c r="F82" s="600"/>
      <c r="G82" s="600"/>
      <c r="H82" s="522"/>
      <c r="I82" s="524"/>
      <c r="J82" s="524"/>
      <c r="K82" s="522"/>
      <c r="L82" s="522"/>
      <c r="M82" s="522"/>
      <c r="N82" s="522"/>
      <c r="O82" s="522"/>
      <c r="P82" s="522"/>
      <c r="Q82" s="522"/>
      <c r="R82" s="601"/>
      <c r="S82" s="602"/>
      <c r="T82" s="506"/>
      <c r="U82" s="603"/>
      <c r="V82" s="530"/>
      <c r="W82" s="506"/>
      <c r="X82" s="603"/>
      <c r="Y82" s="530"/>
      <c r="Z82" s="506"/>
      <c r="AA82" s="604" t="str">
        <f t="shared" si="0"/>
        <v/>
      </c>
      <c r="AB82"/>
      <c r="AC82"/>
    </row>
    <row r="83" spans="2:29" s="410" customFormat="1" x14ac:dyDescent="0.2">
      <c r="B83" s="169">
        <v>64</v>
      </c>
      <c r="C83" s="517"/>
      <c r="D83" s="519"/>
      <c r="E83" s="522"/>
      <c r="F83" s="600"/>
      <c r="G83" s="600"/>
      <c r="H83" s="522"/>
      <c r="I83" s="524"/>
      <c r="J83" s="524"/>
      <c r="K83" s="522"/>
      <c r="L83" s="522"/>
      <c r="M83" s="522"/>
      <c r="N83" s="522"/>
      <c r="O83" s="522"/>
      <c r="P83" s="522"/>
      <c r="Q83" s="522"/>
      <c r="R83" s="601"/>
      <c r="S83" s="602"/>
      <c r="T83" s="506"/>
      <c r="U83" s="603"/>
      <c r="V83" s="530"/>
      <c r="W83" s="506"/>
      <c r="X83" s="603"/>
      <c r="Y83" s="530"/>
      <c r="Z83" s="506"/>
      <c r="AA83" s="604" t="str">
        <f t="shared" si="0"/>
        <v/>
      </c>
      <c r="AB83"/>
      <c r="AC83"/>
    </row>
    <row r="84" spans="2:29" s="410" customFormat="1" x14ac:dyDescent="0.2">
      <c r="B84" s="169">
        <v>65</v>
      </c>
      <c r="C84" s="517"/>
      <c r="D84" s="519"/>
      <c r="E84" s="522"/>
      <c r="F84" s="600"/>
      <c r="G84" s="600"/>
      <c r="H84" s="522"/>
      <c r="I84" s="524"/>
      <c r="J84" s="524"/>
      <c r="K84" s="522"/>
      <c r="L84" s="522"/>
      <c r="M84" s="522"/>
      <c r="N84" s="522"/>
      <c r="O84" s="522"/>
      <c r="P84" s="522"/>
      <c r="Q84" s="522"/>
      <c r="R84" s="601"/>
      <c r="S84" s="602"/>
      <c r="T84" s="506"/>
      <c r="U84" s="603"/>
      <c r="V84" s="530"/>
      <c r="W84" s="506"/>
      <c r="X84" s="603"/>
      <c r="Y84" s="530"/>
      <c r="Z84" s="506"/>
      <c r="AA84" s="604" t="str">
        <f t="shared" ref="AA84:AA119" si="1">IF(C84="","",IF(AND(K84="Y",L84="Y",M84="Y",N84="Y",O84="Y",P84="N",Q84="Y"),"Y","N"))</f>
        <v/>
      </c>
      <c r="AB84"/>
      <c r="AC84"/>
    </row>
    <row r="85" spans="2:29" s="410" customFormat="1" x14ac:dyDescent="0.2">
      <c r="B85" s="169">
        <v>66</v>
      </c>
      <c r="C85" s="517"/>
      <c r="D85" s="519"/>
      <c r="E85" s="522"/>
      <c r="F85" s="600"/>
      <c r="G85" s="600"/>
      <c r="H85" s="522"/>
      <c r="I85" s="524"/>
      <c r="J85" s="524"/>
      <c r="K85" s="522"/>
      <c r="L85" s="522"/>
      <c r="M85" s="522"/>
      <c r="N85" s="522"/>
      <c r="O85" s="522"/>
      <c r="P85" s="522"/>
      <c r="Q85" s="522"/>
      <c r="R85" s="601"/>
      <c r="S85" s="602"/>
      <c r="T85" s="506"/>
      <c r="U85" s="603"/>
      <c r="V85" s="530"/>
      <c r="W85" s="506"/>
      <c r="X85" s="603"/>
      <c r="Y85" s="530"/>
      <c r="Z85" s="506"/>
      <c r="AA85" s="604" t="str">
        <f t="shared" si="1"/>
        <v/>
      </c>
      <c r="AB85"/>
      <c r="AC85"/>
    </row>
    <row r="86" spans="2:29" s="410" customFormat="1" x14ac:dyDescent="0.2">
      <c r="B86" s="169">
        <v>67</v>
      </c>
      <c r="C86" s="517"/>
      <c r="D86" s="519"/>
      <c r="E86" s="522"/>
      <c r="F86" s="600"/>
      <c r="G86" s="600"/>
      <c r="H86" s="522"/>
      <c r="I86" s="524"/>
      <c r="J86" s="524"/>
      <c r="K86" s="522"/>
      <c r="L86" s="522"/>
      <c r="M86" s="522"/>
      <c r="N86" s="522"/>
      <c r="O86" s="522"/>
      <c r="P86" s="522"/>
      <c r="Q86" s="522"/>
      <c r="R86" s="601"/>
      <c r="S86" s="602"/>
      <c r="T86" s="506"/>
      <c r="U86" s="603"/>
      <c r="V86" s="530"/>
      <c r="W86" s="506"/>
      <c r="X86" s="603"/>
      <c r="Y86" s="530"/>
      <c r="Z86" s="506"/>
      <c r="AA86" s="604" t="str">
        <f t="shared" si="1"/>
        <v/>
      </c>
      <c r="AB86"/>
      <c r="AC86"/>
    </row>
    <row r="87" spans="2:29" s="410" customFormat="1" x14ac:dyDescent="0.2">
      <c r="B87" s="169">
        <v>68</v>
      </c>
      <c r="C87" s="517"/>
      <c r="D87" s="519"/>
      <c r="E87" s="522"/>
      <c r="F87" s="600"/>
      <c r="G87" s="600"/>
      <c r="H87" s="522"/>
      <c r="I87" s="524"/>
      <c r="J87" s="524"/>
      <c r="K87" s="522"/>
      <c r="L87" s="522"/>
      <c r="M87" s="522"/>
      <c r="N87" s="522"/>
      <c r="O87" s="522"/>
      <c r="P87" s="522"/>
      <c r="Q87" s="522"/>
      <c r="R87" s="601"/>
      <c r="S87" s="602"/>
      <c r="T87" s="506"/>
      <c r="U87" s="603"/>
      <c r="V87" s="530"/>
      <c r="W87" s="506"/>
      <c r="X87" s="603"/>
      <c r="Y87" s="530"/>
      <c r="Z87" s="506"/>
      <c r="AA87" s="604" t="str">
        <f t="shared" si="1"/>
        <v/>
      </c>
      <c r="AB87"/>
      <c r="AC87"/>
    </row>
    <row r="88" spans="2:29" s="410" customFormat="1" x14ac:dyDescent="0.2">
      <c r="B88" s="169">
        <v>69</v>
      </c>
      <c r="C88" s="517"/>
      <c r="D88" s="519"/>
      <c r="E88" s="522"/>
      <c r="F88" s="600"/>
      <c r="G88" s="600"/>
      <c r="H88" s="522"/>
      <c r="I88" s="524"/>
      <c r="J88" s="524"/>
      <c r="K88" s="522"/>
      <c r="L88" s="522"/>
      <c r="M88" s="522"/>
      <c r="N88" s="522"/>
      <c r="O88" s="522"/>
      <c r="P88" s="522"/>
      <c r="Q88" s="522"/>
      <c r="R88" s="601"/>
      <c r="S88" s="602"/>
      <c r="T88" s="506"/>
      <c r="U88" s="603"/>
      <c r="V88" s="530"/>
      <c r="W88" s="506"/>
      <c r="X88" s="603"/>
      <c r="Y88" s="530"/>
      <c r="Z88" s="506"/>
      <c r="AA88" s="604" t="str">
        <f t="shared" si="1"/>
        <v/>
      </c>
      <c r="AB88"/>
      <c r="AC88"/>
    </row>
    <row r="89" spans="2:29" s="410" customFormat="1" x14ac:dyDescent="0.2">
      <c r="B89" s="169">
        <v>70</v>
      </c>
      <c r="C89" s="517"/>
      <c r="D89" s="519"/>
      <c r="E89" s="522"/>
      <c r="F89" s="600"/>
      <c r="G89" s="600"/>
      <c r="H89" s="522"/>
      <c r="I89" s="524"/>
      <c r="J89" s="524"/>
      <c r="K89" s="522"/>
      <c r="L89" s="522"/>
      <c r="M89" s="522"/>
      <c r="N89" s="522"/>
      <c r="O89" s="522"/>
      <c r="P89" s="522"/>
      <c r="Q89" s="522"/>
      <c r="R89" s="601"/>
      <c r="S89" s="602"/>
      <c r="T89" s="506"/>
      <c r="U89" s="603"/>
      <c r="V89" s="530"/>
      <c r="W89" s="506"/>
      <c r="X89" s="603"/>
      <c r="Y89" s="530"/>
      <c r="Z89" s="506"/>
      <c r="AA89" s="604" t="str">
        <f t="shared" si="1"/>
        <v/>
      </c>
      <c r="AB89"/>
      <c r="AC89"/>
    </row>
    <row r="90" spans="2:29" s="410" customFormat="1" x14ac:dyDescent="0.2">
      <c r="B90" s="169">
        <v>71</v>
      </c>
      <c r="C90" s="517"/>
      <c r="D90" s="519"/>
      <c r="E90" s="522"/>
      <c r="F90" s="600"/>
      <c r="G90" s="600"/>
      <c r="H90" s="522"/>
      <c r="I90" s="524"/>
      <c r="J90" s="524"/>
      <c r="K90" s="522"/>
      <c r="L90" s="522"/>
      <c r="M90" s="522"/>
      <c r="N90" s="522"/>
      <c r="O90" s="522"/>
      <c r="P90" s="522"/>
      <c r="Q90" s="522"/>
      <c r="R90" s="601"/>
      <c r="S90" s="602"/>
      <c r="T90" s="506"/>
      <c r="U90" s="603"/>
      <c r="V90" s="530"/>
      <c r="W90" s="506"/>
      <c r="X90" s="603"/>
      <c r="Y90" s="530"/>
      <c r="Z90" s="506"/>
      <c r="AA90" s="604" t="str">
        <f t="shared" si="1"/>
        <v/>
      </c>
      <c r="AB90"/>
      <c r="AC90"/>
    </row>
    <row r="91" spans="2:29" s="410" customFormat="1" x14ac:dyDescent="0.2">
      <c r="B91" s="169">
        <v>72</v>
      </c>
      <c r="C91" s="517"/>
      <c r="D91" s="519"/>
      <c r="E91" s="522"/>
      <c r="F91" s="600"/>
      <c r="G91" s="600"/>
      <c r="H91" s="522"/>
      <c r="I91" s="524"/>
      <c r="J91" s="524"/>
      <c r="K91" s="522"/>
      <c r="L91" s="522"/>
      <c r="M91" s="522"/>
      <c r="N91" s="522"/>
      <c r="O91" s="522"/>
      <c r="P91" s="522"/>
      <c r="Q91" s="522"/>
      <c r="R91" s="601"/>
      <c r="S91" s="602"/>
      <c r="T91" s="506"/>
      <c r="U91" s="603"/>
      <c r="V91" s="530"/>
      <c r="W91" s="506"/>
      <c r="X91" s="603"/>
      <c r="Y91" s="530"/>
      <c r="Z91" s="506"/>
      <c r="AA91" s="604" t="str">
        <f t="shared" si="1"/>
        <v/>
      </c>
      <c r="AB91"/>
      <c r="AC91"/>
    </row>
    <row r="92" spans="2:29" s="410" customFormat="1" x14ac:dyDescent="0.2">
      <c r="B92" s="169">
        <v>73</v>
      </c>
      <c r="C92" s="517"/>
      <c r="D92" s="519"/>
      <c r="E92" s="522"/>
      <c r="F92" s="600"/>
      <c r="G92" s="600"/>
      <c r="H92" s="522"/>
      <c r="I92" s="524"/>
      <c r="J92" s="524"/>
      <c r="K92" s="522"/>
      <c r="L92" s="522"/>
      <c r="M92" s="522"/>
      <c r="N92" s="522"/>
      <c r="O92" s="522"/>
      <c r="P92" s="522"/>
      <c r="Q92" s="522"/>
      <c r="R92" s="601"/>
      <c r="S92" s="602"/>
      <c r="T92" s="506"/>
      <c r="U92" s="603"/>
      <c r="V92" s="530"/>
      <c r="W92" s="506"/>
      <c r="X92" s="603"/>
      <c r="Y92" s="530"/>
      <c r="Z92" s="506"/>
      <c r="AA92" s="604" t="str">
        <f t="shared" si="1"/>
        <v/>
      </c>
      <c r="AB92"/>
      <c r="AC92"/>
    </row>
    <row r="93" spans="2:29" s="410" customFormat="1" x14ac:dyDescent="0.2">
      <c r="B93" s="169">
        <v>74</v>
      </c>
      <c r="C93" s="517"/>
      <c r="D93" s="519"/>
      <c r="E93" s="522"/>
      <c r="F93" s="600"/>
      <c r="G93" s="600"/>
      <c r="H93" s="522"/>
      <c r="I93" s="524"/>
      <c r="J93" s="524"/>
      <c r="K93" s="522"/>
      <c r="L93" s="522"/>
      <c r="M93" s="522"/>
      <c r="N93" s="522"/>
      <c r="O93" s="522"/>
      <c r="P93" s="522"/>
      <c r="Q93" s="522"/>
      <c r="R93" s="601"/>
      <c r="S93" s="602"/>
      <c r="T93" s="506"/>
      <c r="U93" s="603"/>
      <c r="V93" s="530"/>
      <c r="W93" s="506"/>
      <c r="X93" s="603"/>
      <c r="Y93" s="530"/>
      <c r="Z93" s="506"/>
      <c r="AA93" s="604" t="str">
        <f t="shared" si="1"/>
        <v/>
      </c>
      <c r="AB93"/>
      <c r="AC93"/>
    </row>
    <row r="94" spans="2:29" s="410" customFormat="1" x14ac:dyDescent="0.2">
      <c r="B94" s="169">
        <v>75</v>
      </c>
      <c r="C94" s="517"/>
      <c r="D94" s="519"/>
      <c r="E94" s="522"/>
      <c r="F94" s="600"/>
      <c r="G94" s="600"/>
      <c r="H94" s="522"/>
      <c r="I94" s="524"/>
      <c r="J94" s="524"/>
      <c r="K94" s="522"/>
      <c r="L94" s="522"/>
      <c r="M94" s="522"/>
      <c r="N94" s="522"/>
      <c r="O94" s="522"/>
      <c r="P94" s="522"/>
      <c r="Q94" s="522"/>
      <c r="R94" s="601"/>
      <c r="S94" s="602"/>
      <c r="T94" s="506"/>
      <c r="U94" s="603"/>
      <c r="V94" s="530"/>
      <c r="W94" s="506"/>
      <c r="X94" s="603"/>
      <c r="Y94" s="530"/>
      <c r="Z94" s="506"/>
      <c r="AA94" s="604" t="str">
        <f t="shared" si="1"/>
        <v/>
      </c>
      <c r="AB94"/>
      <c r="AC94"/>
    </row>
    <row r="95" spans="2:29" s="410" customFormat="1" x14ac:dyDescent="0.2">
      <c r="B95" s="169">
        <v>76</v>
      </c>
      <c r="C95" s="517"/>
      <c r="D95" s="519"/>
      <c r="E95" s="522"/>
      <c r="F95" s="600"/>
      <c r="G95" s="600"/>
      <c r="H95" s="522"/>
      <c r="I95" s="524"/>
      <c r="J95" s="524"/>
      <c r="K95" s="522"/>
      <c r="L95" s="522"/>
      <c r="M95" s="522"/>
      <c r="N95" s="522"/>
      <c r="O95" s="522"/>
      <c r="P95" s="522"/>
      <c r="Q95" s="522"/>
      <c r="R95" s="601"/>
      <c r="S95" s="602"/>
      <c r="T95" s="506"/>
      <c r="U95" s="603"/>
      <c r="V95" s="530"/>
      <c r="W95" s="506"/>
      <c r="X95" s="603"/>
      <c r="Y95" s="530"/>
      <c r="Z95" s="506"/>
      <c r="AA95" s="604" t="str">
        <f t="shared" si="1"/>
        <v/>
      </c>
      <c r="AB95"/>
      <c r="AC95"/>
    </row>
    <row r="96" spans="2:29" s="410" customFormat="1" x14ac:dyDescent="0.2">
      <c r="B96" s="169">
        <v>77</v>
      </c>
      <c r="C96" s="517"/>
      <c r="D96" s="519"/>
      <c r="E96" s="522"/>
      <c r="F96" s="600"/>
      <c r="G96" s="600"/>
      <c r="H96" s="522"/>
      <c r="I96" s="524"/>
      <c r="J96" s="524"/>
      <c r="K96" s="522"/>
      <c r="L96" s="522"/>
      <c r="M96" s="522"/>
      <c r="N96" s="522"/>
      <c r="O96" s="522"/>
      <c r="P96" s="522"/>
      <c r="Q96" s="522"/>
      <c r="R96" s="601"/>
      <c r="S96" s="602"/>
      <c r="T96" s="506"/>
      <c r="U96" s="603"/>
      <c r="V96" s="530"/>
      <c r="W96" s="506"/>
      <c r="X96" s="603"/>
      <c r="Y96" s="530"/>
      <c r="Z96" s="506"/>
      <c r="AA96" s="604" t="str">
        <f t="shared" si="1"/>
        <v/>
      </c>
      <c r="AB96"/>
      <c r="AC96"/>
    </row>
    <row r="97" spans="2:29" s="410" customFormat="1" x14ac:dyDescent="0.2">
      <c r="B97" s="169">
        <v>78</v>
      </c>
      <c r="C97" s="517"/>
      <c r="D97" s="519"/>
      <c r="E97" s="522"/>
      <c r="F97" s="600"/>
      <c r="G97" s="600"/>
      <c r="H97" s="522"/>
      <c r="I97" s="524"/>
      <c r="J97" s="524"/>
      <c r="K97" s="522"/>
      <c r="L97" s="522"/>
      <c r="M97" s="522"/>
      <c r="N97" s="522"/>
      <c r="O97" s="522"/>
      <c r="P97" s="522"/>
      <c r="Q97" s="522"/>
      <c r="R97" s="601"/>
      <c r="S97" s="602"/>
      <c r="T97" s="506"/>
      <c r="U97" s="603"/>
      <c r="V97" s="530"/>
      <c r="W97" s="506"/>
      <c r="X97" s="603"/>
      <c r="Y97" s="530"/>
      <c r="Z97" s="506"/>
      <c r="AA97" s="604" t="str">
        <f t="shared" si="1"/>
        <v/>
      </c>
      <c r="AB97"/>
      <c r="AC97"/>
    </row>
    <row r="98" spans="2:29" s="410" customFormat="1" x14ac:dyDescent="0.2">
      <c r="B98" s="169">
        <v>79</v>
      </c>
      <c r="C98" s="517"/>
      <c r="D98" s="519"/>
      <c r="E98" s="522"/>
      <c r="F98" s="600"/>
      <c r="G98" s="600"/>
      <c r="H98" s="522"/>
      <c r="I98" s="524"/>
      <c r="J98" s="524"/>
      <c r="K98" s="522"/>
      <c r="L98" s="522"/>
      <c r="M98" s="522"/>
      <c r="N98" s="522"/>
      <c r="O98" s="522"/>
      <c r="P98" s="522"/>
      <c r="Q98" s="522"/>
      <c r="R98" s="601"/>
      <c r="S98" s="602"/>
      <c r="T98" s="506"/>
      <c r="U98" s="603"/>
      <c r="V98" s="530"/>
      <c r="W98" s="506"/>
      <c r="X98" s="603"/>
      <c r="Y98" s="530"/>
      <c r="Z98" s="506"/>
      <c r="AA98" s="604" t="str">
        <f t="shared" si="1"/>
        <v/>
      </c>
      <c r="AB98"/>
      <c r="AC98"/>
    </row>
    <row r="99" spans="2:29" s="410" customFormat="1" x14ac:dyDescent="0.2">
      <c r="B99" s="169">
        <v>80</v>
      </c>
      <c r="C99" s="517"/>
      <c r="D99" s="519"/>
      <c r="E99" s="522"/>
      <c r="F99" s="600"/>
      <c r="G99" s="600"/>
      <c r="H99" s="522"/>
      <c r="I99" s="524"/>
      <c r="J99" s="524"/>
      <c r="K99" s="522"/>
      <c r="L99" s="522"/>
      <c r="M99" s="522"/>
      <c r="N99" s="522"/>
      <c r="O99" s="522"/>
      <c r="P99" s="522"/>
      <c r="Q99" s="522"/>
      <c r="R99" s="601"/>
      <c r="S99" s="602"/>
      <c r="T99" s="506"/>
      <c r="U99" s="603"/>
      <c r="V99" s="530"/>
      <c r="W99" s="506"/>
      <c r="X99" s="603"/>
      <c r="Y99" s="530"/>
      <c r="Z99" s="506"/>
      <c r="AA99" s="604" t="str">
        <f t="shared" si="1"/>
        <v/>
      </c>
      <c r="AB99"/>
      <c r="AC99"/>
    </row>
    <row r="100" spans="2:29" s="410" customFormat="1" x14ac:dyDescent="0.2">
      <c r="B100" s="169">
        <v>81</v>
      </c>
      <c r="C100" s="517"/>
      <c r="D100" s="519"/>
      <c r="E100" s="522"/>
      <c r="F100" s="600"/>
      <c r="G100" s="600"/>
      <c r="H100" s="522"/>
      <c r="I100" s="524"/>
      <c r="J100" s="524"/>
      <c r="K100" s="522"/>
      <c r="L100" s="522"/>
      <c r="M100" s="522"/>
      <c r="N100" s="522"/>
      <c r="O100" s="522"/>
      <c r="P100" s="522"/>
      <c r="Q100" s="522"/>
      <c r="R100" s="601"/>
      <c r="S100" s="602"/>
      <c r="T100" s="506"/>
      <c r="U100" s="603"/>
      <c r="V100" s="530"/>
      <c r="W100" s="506"/>
      <c r="X100" s="603"/>
      <c r="Y100" s="530"/>
      <c r="Z100" s="506"/>
      <c r="AA100" s="604" t="str">
        <f t="shared" si="1"/>
        <v/>
      </c>
      <c r="AB100"/>
      <c r="AC100"/>
    </row>
    <row r="101" spans="2:29" s="410" customFormat="1" x14ac:dyDescent="0.2">
      <c r="B101" s="169">
        <v>82</v>
      </c>
      <c r="C101" s="517"/>
      <c r="D101" s="519"/>
      <c r="E101" s="522"/>
      <c r="F101" s="600"/>
      <c r="G101" s="600"/>
      <c r="H101" s="522"/>
      <c r="I101" s="524"/>
      <c r="J101" s="524"/>
      <c r="K101" s="522"/>
      <c r="L101" s="522"/>
      <c r="M101" s="522"/>
      <c r="N101" s="522"/>
      <c r="O101" s="522"/>
      <c r="P101" s="522"/>
      <c r="Q101" s="522"/>
      <c r="R101" s="601"/>
      <c r="S101" s="602"/>
      <c r="T101" s="506"/>
      <c r="U101" s="603"/>
      <c r="V101" s="530"/>
      <c r="W101" s="506"/>
      <c r="X101" s="603"/>
      <c r="Y101" s="530"/>
      <c r="Z101" s="506"/>
      <c r="AA101" s="604" t="str">
        <f t="shared" si="1"/>
        <v/>
      </c>
      <c r="AB101"/>
      <c r="AC101"/>
    </row>
    <row r="102" spans="2:29" s="410" customFormat="1" x14ac:dyDescent="0.2">
      <c r="B102" s="169">
        <v>83</v>
      </c>
      <c r="C102" s="517"/>
      <c r="D102" s="519"/>
      <c r="E102" s="522"/>
      <c r="F102" s="600"/>
      <c r="G102" s="600"/>
      <c r="H102" s="522"/>
      <c r="I102" s="524"/>
      <c r="J102" s="524"/>
      <c r="K102" s="522"/>
      <c r="L102" s="522"/>
      <c r="M102" s="522"/>
      <c r="N102" s="522"/>
      <c r="O102" s="522"/>
      <c r="P102" s="522"/>
      <c r="Q102" s="522"/>
      <c r="R102" s="601"/>
      <c r="S102" s="602"/>
      <c r="T102" s="506"/>
      <c r="U102" s="603"/>
      <c r="V102" s="530"/>
      <c r="W102" s="506"/>
      <c r="X102" s="603"/>
      <c r="Y102" s="530"/>
      <c r="Z102" s="506"/>
      <c r="AA102" s="604" t="str">
        <f t="shared" si="1"/>
        <v/>
      </c>
      <c r="AB102"/>
      <c r="AC102"/>
    </row>
    <row r="103" spans="2:29" s="410" customFormat="1" x14ac:dyDescent="0.2">
      <c r="B103" s="169">
        <v>84</v>
      </c>
      <c r="C103" s="517"/>
      <c r="D103" s="519"/>
      <c r="E103" s="522"/>
      <c r="F103" s="600"/>
      <c r="G103" s="600"/>
      <c r="H103" s="522"/>
      <c r="I103" s="524"/>
      <c r="J103" s="524"/>
      <c r="K103" s="522"/>
      <c r="L103" s="522"/>
      <c r="M103" s="522"/>
      <c r="N103" s="522"/>
      <c r="O103" s="522"/>
      <c r="P103" s="522"/>
      <c r="Q103" s="522"/>
      <c r="R103" s="601"/>
      <c r="S103" s="602"/>
      <c r="T103" s="506"/>
      <c r="U103" s="603"/>
      <c r="V103" s="530"/>
      <c r="W103" s="506"/>
      <c r="X103" s="603"/>
      <c r="Y103" s="530"/>
      <c r="Z103" s="506"/>
      <c r="AA103" s="604" t="str">
        <f t="shared" si="1"/>
        <v/>
      </c>
      <c r="AB103"/>
      <c r="AC103"/>
    </row>
    <row r="104" spans="2:29" s="410" customFormat="1" x14ac:dyDescent="0.2">
      <c r="B104" s="169">
        <v>85</v>
      </c>
      <c r="C104" s="517"/>
      <c r="D104" s="519"/>
      <c r="E104" s="522"/>
      <c r="F104" s="600"/>
      <c r="G104" s="600"/>
      <c r="H104" s="522"/>
      <c r="I104" s="524"/>
      <c r="J104" s="524"/>
      <c r="K104" s="522"/>
      <c r="L104" s="522"/>
      <c r="M104" s="522"/>
      <c r="N104" s="522"/>
      <c r="O104" s="522"/>
      <c r="P104" s="522"/>
      <c r="Q104" s="522"/>
      <c r="R104" s="601"/>
      <c r="S104" s="602"/>
      <c r="T104" s="506"/>
      <c r="U104" s="603"/>
      <c r="V104" s="530"/>
      <c r="W104" s="506"/>
      <c r="X104" s="603"/>
      <c r="Y104" s="530"/>
      <c r="Z104" s="506"/>
      <c r="AA104" s="604" t="str">
        <f t="shared" si="1"/>
        <v/>
      </c>
      <c r="AB104"/>
      <c r="AC104"/>
    </row>
    <row r="105" spans="2:29" s="410" customFormat="1" x14ac:dyDescent="0.2">
      <c r="B105" s="169">
        <v>86</v>
      </c>
      <c r="C105" s="517"/>
      <c r="D105" s="519"/>
      <c r="E105" s="522"/>
      <c r="F105" s="600"/>
      <c r="G105" s="600"/>
      <c r="H105" s="522"/>
      <c r="I105" s="524"/>
      <c r="J105" s="524"/>
      <c r="K105" s="522"/>
      <c r="L105" s="522"/>
      <c r="M105" s="522"/>
      <c r="N105" s="522"/>
      <c r="O105" s="522"/>
      <c r="P105" s="522"/>
      <c r="Q105" s="522"/>
      <c r="R105" s="601"/>
      <c r="S105" s="602"/>
      <c r="T105" s="506"/>
      <c r="U105" s="603"/>
      <c r="V105" s="530"/>
      <c r="W105" s="506"/>
      <c r="X105" s="603"/>
      <c r="Y105" s="530"/>
      <c r="Z105" s="506"/>
      <c r="AA105" s="604" t="str">
        <f t="shared" si="1"/>
        <v/>
      </c>
      <c r="AB105"/>
      <c r="AC105"/>
    </row>
    <row r="106" spans="2:29" s="410" customFormat="1" x14ac:dyDescent="0.2">
      <c r="B106" s="169">
        <v>87</v>
      </c>
      <c r="C106" s="517"/>
      <c r="D106" s="519"/>
      <c r="E106" s="522"/>
      <c r="F106" s="600"/>
      <c r="G106" s="600"/>
      <c r="H106" s="522"/>
      <c r="I106" s="524"/>
      <c r="J106" s="524"/>
      <c r="K106" s="522"/>
      <c r="L106" s="522"/>
      <c r="M106" s="522"/>
      <c r="N106" s="522"/>
      <c r="O106" s="522"/>
      <c r="P106" s="522"/>
      <c r="Q106" s="522"/>
      <c r="R106" s="601"/>
      <c r="S106" s="602"/>
      <c r="T106" s="506"/>
      <c r="U106" s="603"/>
      <c r="V106" s="530"/>
      <c r="W106" s="506"/>
      <c r="X106" s="603"/>
      <c r="Y106" s="530"/>
      <c r="Z106" s="506"/>
      <c r="AA106" s="604" t="str">
        <f t="shared" si="1"/>
        <v/>
      </c>
      <c r="AB106"/>
      <c r="AC106"/>
    </row>
    <row r="107" spans="2:29" s="410" customFormat="1" x14ac:dyDescent="0.2">
      <c r="B107" s="169">
        <v>88</v>
      </c>
      <c r="C107" s="517"/>
      <c r="D107" s="519"/>
      <c r="E107" s="522"/>
      <c r="F107" s="600"/>
      <c r="G107" s="600"/>
      <c r="H107" s="522"/>
      <c r="I107" s="524"/>
      <c r="J107" s="524"/>
      <c r="K107" s="522"/>
      <c r="L107" s="522"/>
      <c r="M107" s="522"/>
      <c r="N107" s="522"/>
      <c r="O107" s="522"/>
      <c r="P107" s="522"/>
      <c r="Q107" s="522"/>
      <c r="R107" s="601"/>
      <c r="S107" s="602"/>
      <c r="T107" s="506"/>
      <c r="U107" s="603"/>
      <c r="V107" s="530"/>
      <c r="W107" s="506"/>
      <c r="X107" s="603"/>
      <c r="Y107" s="530"/>
      <c r="Z107" s="506"/>
      <c r="AA107" s="604" t="str">
        <f t="shared" si="1"/>
        <v/>
      </c>
      <c r="AB107"/>
      <c r="AC107"/>
    </row>
    <row r="108" spans="2:29" s="410" customFormat="1" x14ac:dyDescent="0.2">
      <c r="B108" s="169">
        <v>89</v>
      </c>
      <c r="C108" s="517"/>
      <c r="D108" s="519"/>
      <c r="E108" s="522"/>
      <c r="F108" s="600"/>
      <c r="G108" s="600"/>
      <c r="H108" s="522"/>
      <c r="I108" s="524"/>
      <c r="J108" s="524"/>
      <c r="K108" s="522"/>
      <c r="L108" s="522"/>
      <c r="M108" s="522"/>
      <c r="N108" s="522"/>
      <c r="O108" s="522"/>
      <c r="P108" s="522"/>
      <c r="Q108" s="522"/>
      <c r="R108" s="601"/>
      <c r="S108" s="602"/>
      <c r="T108" s="506"/>
      <c r="U108" s="603"/>
      <c r="V108" s="530"/>
      <c r="W108" s="506"/>
      <c r="X108" s="603"/>
      <c r="Y108" s="530"/>
      <c r="Z108" s="506"/>
      <c r="AA108" s="604" t="str">
        <f t="shared" si="1"/>
        <v/>
      </c>
      <c r="AB108"/>
      <c r="AC108"/>
    </row>
    <row r="109" spans="2:29" s="410" customFormat="1" x14ac:dyDescent="0.2">
      <c r="B109" s="169">
        <v>90</v>
      </c>
      <c r="C109" s="517"/>
      <c r="D109" s="519"/>
      <c r="E109" s="522"/>
      <c r="F109" s="600"/>
      <c r="G109" s="600"/>
      <c r="H109" s="522"/>
      <c r="I109" s="524"/>
      <c r="J109" s="524"/>
      <c r="K109" s="522"/>
      <c r="L109" s="522"/>
      <c r="M109" s="522"/>
      <c r="N109" s="522"/>
      <c r="O109" s="522"/>
      <c r="P109" s="522"/>
      <c r="Q109" s="522"/>
      <c r="R109" s="601"/>
      <c r="S109" s="602"/>
      <c r="T109" s="506"/>
      <c r="U109" s="603"/>
      <c r="V109" s="530"/>
      <c r="W109" s="506"/>
      <c r="X109" s="603"/>
      <c r="Y109" s="530"/>
      <c r="Z109" s="506"/>
      <c r="AA109" s="604" t="str">
        <f t="shared" si="1"/>
        <v/>
      </c>
      <c r="AB109"/>
      <c r="AC109"/>
    </row>
    <row r="110" spans="2:29" s="410" customFormat="1" x14ac:dyDescent="0.2">
      <c r="B110" s="169">
        <v>91</v>
      </c>
      <c r="C110" s="517"/>
      <c r="D110" s="519"/>
      <c r="E110" s="522"/>
      <c r="F110" s="600"/>
      <c r="G110" s="600"/>
      <c r="H110" s="522"/>
      <c r="I110" s="524"/>
      <c r="J110" s="524"/>
      <c r="K110" s="522"/>
      <c r="L110" s="522"/>
      <c r="M110" s="522"/>
      <c r="N110" s="522"/>
      <c r="O110" s="522"/>
      <c r="P110" s="522"/>
      <c r="Q110" s="522"/>
      <c r="R110" s="601"/>
      <c r="S110" s="602"/>
      <c r="T110" s="506"/>
      <c r="U110" s="603"/>
      <c r="V110" s="530"/>
      <c r="W110" s="506"/>
      <c r="X110" s="603"/>
      <c r="Y110" s="530"/>
      <c r="Z110" s="506"/>
      <c r="AA110" s="604" t="str">
        <f t="shared" si="1"/>
        <v/>
      </c>
      <c r="AB110"/>
      <c r="AC110"/>
    </row>
    <row r="111" spans="2:29" s="410" customFormat="1" x14ac:dyDescent="0.2">
      <c r="B111" s="169">
        <v>92</v>
      </c>
      <c r="C111" s="517"/>
      <c r="D111" s="519"/>
      <c r="E111" s="522"/>
      <c r="F111" s="600"/>
      <c r="G111" s="600"/>
      <c r="H111" s="522"/>
      <c r="I111" s="524"/>
      <c r="J111" s="524"/>
      <c r="K111" s="522"/>
      <c r="L111" s="522"/>
      <c r="M111" s="522"/>
      <c r="N111" s="522"/>
      <c r="O111" s="522"/>
      <c r="P111" s="522"/>
      <c r="Q111" s="522"/>
      <c r="R111" s="601"/>
      <c r="S111" s="602"/>
      <c r="T111" s="506"/>
      <c r="U111" s="603"/>
      <c r="V111" s="530"/>
      <c r="W111" s="506"/>
      <c r="X111" s="603"/>
      <c r="Y111" s="530"/>
      <c r="Z111" s="506"/>
      <c r="AA111" s="604" t="str">
        <f t="shared" si="1"/>
        <v/>
      </c>
      <c r="AB111"/>
      <c r="AC111"/>
    </row>
    <row r="112" spans="2:29" s="410" customFormat="1" x14ac:dyDescent="0.2">
      <c r="B112" s="169">
        <v>93</v>
      </c>
      <c r="C112" s="517"/>
      <c r="D112" s="519"/>
      <c r="E112" s="522"/>
      <c r="F112" s="600"/>
      <c r="G112" s="600"/>
      <c r="H112" s="522"/>
      <c r="I112" s="524"/>
      <c r="J112" s="524"/>
      <c r="K112" s="522"/>
      <c r="L112" s="522"/>
      <c r="M112" s="522"/>
      <c r="N112" s="522"/>
      <c r="O112" s="522"/>
      <c r="P112" s="522"/>
      <c r="Q112" s="522"/>
      <c r="R112" s="601"/>
      <c r="S112" s="602"/>
      <c r="T112" s="506"/>
      <c r="U112" s="603"/>
      <c r="V112" s="530"/>
      <c r="W112" s="506"/>
      <c r="X112" s="603"/>
      <c r="Y112" s="530"/>
      <c r="Z112" s="506"/>
      <c r="AA112" s="604" t="str">
        <f t="shared" si="1"/>
        <v/>
      </c>
      <c r="AB112"/>
      <c r="AC112"/>
    </row>
    <row r="113" spans="1:30" s="410" customFormat="1" x14ac:dyDescent="0.2">
      <c r="B113" s="169">
        <v>94</v>
      </c>
      <c r="C113" s="517"/>
      <c r="D113" s="519"/>
      <c r="E113" s="522"/>
      <c r="F113" s="600"/>
      <c r="G113" s="600"/>
      <c r="H113" s="522"/>
      <c r="I113" s="524"/>
      <c r="J113" s="524"/>
      <c r="K113" s="522"/>
      <c r="L113" s="522"/>
      <c r="M113" s="522"/>
      <c r="N113" s="522"/>
      <c r="O113" s="522"/>
      <c r="P113" s="522"/>
      <c r="Q113" s="522"/>
      <c r="R113" s="601"/>
      <c r="S113" s="602"/>
      <c r="T113" s="506"/>
      <c r="U113" s="603"/>
      <c r="V113" s="530"/>
      <c r="W113" s="506"/>
      <c r="X113" s="603"/>
      <c r="Y113" s="530"/>
      <c r="Z113" s="506"/>
      <c r="AA113" s="604" t="str">
        <f t="shared" si="1"/>
        <v/>
      </c>
      <c r="AB113"/>
      <c r="AC113"/>
    </row>
    <row r="114" spans="1:30" s="410" customFormat="1" x14ac:dyDescent="0.2">
      <c r="B114" s="169">
        <v>95</v>
      </c>
      <c r="C114" s="517"/>
      <c r="D114" s="519"/>
      <c r="E114" s="522"/>
      <c r="F114" s="600"/>
      <c r="G114" s="600"/>
      <c r="H114" s="522"/>
      <c r="I114" s="524"/>
      <c r="J114" s="524"/>
      <c r="K114" s="522"/>
      <c r="L114" s="522"/>
      <c r="M114" s="522"/>
      <c r="N114" s="522"/>
      <c r="O114" s="522"/>
      <c r="P114" s="522"/>
      <c r="Q114" s="522"/>
      <c r="R114" s="601"/>
      <c r="S114" s="602"/>
      <c r="T114" s="506"/>
      <c r="U114" s="603"/>
      <c r="V114" s="530"/>
      <c r="W114" s="506"/>
      <c r="X114" s="603"/>
      <c r="Y114" s="530"/>
      <c r="Z114" s="506"/>
      <c r="AA114" s="604" t="str">
        <f t="shared" si="1"/>
        <v/>
      </c>
      <c r="AB114"/>
      <c r="AC114"/>
    </row>
    <row r="115" spans="1:30" s="410" customFormat="1" x14ac:dyDescent="0.2">
      <c r="B115" s="169">
        <v>96</v>
      </c>
      <c r="C115" s="517"/>
      <c r="D115" s="519"/>
      <c r="E115" s="522"/>
      <c r="F115" s="600"/>
      <c r="G115" s="600"/>
      <c r="H115" s="522"/>
      <c r="I115" s="524"/>
      <c r="J115" s="524"/>
      <c r="K115" s="522"/>
      <c r="L115" s="522"/>
      <c r="M115" s="522"/>
      <c r="N115" s="522"/>
      <c r="O115" s="522"/>
      <c r="P115" s="522"/>
      <c r="Q115" s="522"/>
      <c r="R115" s="601"/>
      <c r="S115" s="602"/>
      <c r="T115" s="506"/>
      <c r="U115" s="603"/>
      <c r="V115" s="530"/>
      <c r="W115" s="506"/>
      <c r="X115" s="603"/>
      <c r="Y115" s="530"/>
      <c r="Z115" s="506"/>
      <c r="AA115" s="604" t="str">
        <f t="shared" si="1"/>
        <v/>
      </c>
      <c r="AB115"/>
      <c r="AC115"/>
    </row>
    <row r="116" spans="1:30" s="410" customFormat="1" x14ac:dyDescent="0.2">
      <c r="B116" s="169">
        <v>97</v>
      </c>
      <c r="C116" s="517"/>
      <c r="D116" s="519"/>
      <c r="E116" s="522"/>
      <c r="F116" s="600"/>
      <c r="G116" s="600"/>
      <c r="H116" s="522"/>
      <c r="I116" s="524"/>
      <c r="J116" s="524"/>
      <c r="K116" s="522"/>
      <c r="L116" s="522"/>
      <c r="M116" s="522"/>
      <c r="N116" s="522"/>
      <c r="O116" s="522"/>
      <c r="P116" s="522"/>
      <c r="Q116" s="522"/>
      <c r="R116" s="601"/>
      <c r="S116" s="602"/>
      <c r="T116" s="506"/>
      <c r="U116" s="603"/>
      <c r="V116" s="530"/>
      <c r="W116" s="506"/>
      <c r="X116" s="603"/>
      <c r="Y116" s="530"/>
      <c r="Z116" s="506"/>
      <c r="AA116" s="604" t="str">
        <f t="shared" si="1"/>
        <v/>
      </c>
      <c r="AB116"/>
      <c r="AC116"/>
    </row>
    <row r="117" spans="1:30" s="410" customFormat="1" x14ac:dyDescent="0.2">
      <c r="B117" s="169">
        <v>98</v>
      </c>
      <c r="C117" s="517"/>
      <c r="D117" s="519"/>
      <c r="E117" s="522"/>
      <c r="F117" s="600"/>
      <c r="G117" s="600"/>
      <c r="H117" s="522"/>
      <c r="I117" s="524"/>
      <c r="J117" s="524"/>
      <c r="K117" s="522"/>
      <c r="L117" s="522"/>
      <c r="M117" s="522"/>
      <c r="N117" s="522"/>
      <c r="O117" s="522"/>
      <c r="P117" s="522"/>
      <c r="Q117" s="522"/>
      <c r="R117" s="601"/>
      <c r="S117" s="602"/>
      <c r="T117" s="506"/>
      <c r="U117" s="603"/>
      <c r="V117" s="530"/>
      <c r="W117" s="506"/>
      <c r="X117" s="603"/>
      <c r="Y117" s="530"/>
      <c r="Z117" s="506"/>
      <c r="AA117" s="604" t="str">
        <f t="shared" si="1"/>
        <v/>
      </c>
      <c r="AB117"/>
      <c r="AC117"/>
    </row>
    <row r="118" spans="1:30" s="410" customFormat="1" x14ac:dyDescent="0.2">
      <c r="B118" s="169">
        <v>99</v>
      </c>
      <c r="C118" s="517"/>
      <c r="D118" s="519"/>
      <c r="E118" s="522"/>
      <c r="F118" s="600"/>
      <c r="G118" s="600"/>
      <c r="H118" s="522"/>
      <c r="I118" s="524"/>
      <c r="J118" s="524"/>
      <c r="K118" s="522"/>
      <c r="L118" s="522"/>
      <c r="M118" s="522"/>
      <c r="N118" s="522"/>
      <c r="O118" s="522"/>
      <c r="P118" s="522"/>
      <c r="Q118" s="522"/>
      <c r="R118" s="601"/>
      <c r="S118" s="602"/>
      <c r="T118" s="506"/>
      <c r="U118" s="603"/>
      <c r="V118" s="530"/>
      <c r="W118" s="506"/>
      <c r="X118" s="603"/>
      <c r="Y118" s="530"/>
      <c r="Z118" s="506"/>
      <c r="AA118" s="604" t="str">
        <f t="shared" si="1"/>
        <v/>
      </c>
      <c r="AB118"/>
      <c r="AC118"/>
    </row>
    <row r="119" spans="1:30" s="410" customFormat="1" x14ac:dyDescent="0.2">
      <c r="B119" s="169">
        <v>100</v>
      </c>
      <c r="C119" s="537"/>
      <c r="D119" s="539"/>
      <c r="E119" s="542"/>
      <c r="F119" s="605"/>
      <c r="G119" s="605"/>
      <c r="H119" s="542"/>
      <c r="I119" s="544"/>
      <c r="J119" s="544"/>
      <c r="K119" s="542"/>
      <c r="L119" s="542"/>
      <c r="M119" s="542"/>
      <c r="N119" s="542"/>
      <c r="O119" s="542"/>
      <c r="P119" s="542"/>
      <c r="Q119" s="542"/>
      <c r="R119" s="606"/>
      <c r="S119" s="607"/>
      <c r="T119" s="506"/>
      <c r="U119" s="608"/>
      <c r="V119" s="550"/>
      <c r="W119" s="506"/>
      <c r="X119" s="608"/>
      <c r="Y119" s="550"/>
      <c r="Z119" s="506"/>
      <c r="AA119" s="609" t="str">
        <f t="shared" si="1"/>
        <v/>
      </c>
      <c r="AB119"/>
      <c r="AC119"/>
    </row>
    <row r="120" spans="1:30" s="410" customFormat="1" ht="15.75" x14ac:dyDescent="0.2">
      <c r="B120" s="162">
        <v>101</v>
      </c>
      <c r="C120" s="557" t="s">
        <v>84</v>
      </c>
      <c r="D120" s="558"/>
      <c r="E120" s="558"/>
      <c r="F120" s="558"/>
      <c r="G120" s="558"/>
      <c r="H120" s="558"/>
      <c r="I120" s="563"/>
      <c r="J120" s="565">
        <f>SUM(J20:J119)</f>
        <v>0</v>
      </c>
      <c r="K120"/>
      <c r="L120"/>
      <c r="M120"/>
      <c r="N120"/>
      <c r="O120"/>
      <c r="P120"/>
      <c r="Q120"/>
      <c r="R120"/>
      <c r="S120"/>
      <c r="T120" s="569"/>
      <c r="U120" s="569"/>
      <c r="V120" s="565">
        <f>SUM(V20:V119)</f>
        <v>0</v>
      </c>
      <c r="W120" s="569"/>
      <c r="X120" s="569"/>
      <c r="Y120" s="565">
        <f>SUM(Y20:Y119)</f>
        <v>0</v>
      </c>
      <c r="Z120" s="569"/>
      <c r="AA120"/>
      <c r="AB120"/>
      <c r="AC120"/>
    </row>
    <row r="121" spans="1:30" x14ac:dyDescent="0.2">
      <c r="A121" s="148"/>
      <c r="B121" s="148"/>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row>
    <row r="123" spans="1:30" x14ac:dyDescent="0.2">
      <c r="C123" s="571"/>
      <c r="D123" s="571"/>
      <c r="E123" s="571"/>
      <c r="F123" s="571"/>
      <c r="G123" s="571"/>
      <c r="H123" s="571"/>
      <c r="I123" s="571"/>
      <c r="J123" s="571"/>
      <c r="K123" s="571"/>
      <c r="L123" s="571"/>
      <c r="M123" s="571"/>
      <c r="N123" s="571"/>
      <c r="O123" s="571"/>
      <c r="P123" s="571"/>
      <c r="Q123" s="571"/>
      <c r="R123" s="571"/>
      <c r="S123" s="571"/>
      <c r="T123" s="571"/>
      <c r="U123" s="571"/>
      <c r="V123" s="571"/>
      <c r="W123" s="571"/>
      <c r="X123" s="571"/>
      <c r="Y123" s="571"/>
      <c r="Z123" s="571"/>
      <c r="AA123" s="571"/>
      <c r="AB123" s="571"/>
    </row>
    <row r="124" spans="1:30" ht="15" customHeight="1" x14ac:dyDescent="0.2">
      <c r="C124" s="1415" t="s">
        <v>647</v>
      </c>
      <c r="D124" s="571"/>
      <c r="E124" s="571"/>
      <c r="F124" s="571"/>
      <c r="G124" s="1412" t="s">
        <v>591</v>
      </c>
      <c r="H124" s="1415" t="s">
        <v>589</v>
      </c>
      <c r="I124" s="571"/>
      <c r="J124" s="571"/>
      <c r="K124" s="571"/>
      <c r="L124" s="571"/>
      <c r="M124" s="571"/>
      <c r="N124" s="571"/>
      <c r="O124" s="571"/>
      <c r="P124" s="571"/>
      <c r="Q124" s="571"/>
      <c r="R124" s="571"/>
      <c r="S124" s="571"/>
      <c r="T124" s="571"/>
      <c r="U124" s="1415" t="s">
        <v>598</v>
      </c>
      <c r="V124" s="571"/>
      <c r="W124" s="571"/>
      <c r="X124" s="1415" t="s">
        <v>419</v>
      </c>
      <c r="Y124" s="571"/>
      <c r="Z124" s="571"/>
      <c r="AA124" s="571"/>
      <c r="AB124" s="571"/>
    </row>
    <row r="125" spans="1:30" ht="15" customHeight="1" x14ac:dyDescent="0.2">
      <c r="C125" s="1416"/>
      <c r="D125" s="571"/>
      <c r="E125" s="571"/>
      <c r="F125" s="571"/>
      <c r="G125" s="1413"/>
      <c r="H125" s="1416"/>
      <c r="I125" s="572"/>
      <c r="J125" s="571"/>
      <c r="K125" s="571"/>
      <c r="L125" s="571"/>
      <c r="M125" s="571"/>
      <c r="N125" s="571"/>
      <c r="O125" s="571"/>
      <c r="P125" s="571"/>
      <c r="Q125" s="571"/>
      <c r="R125" s="571"/>
      <c r="S125" s="571"/>
      <c r="T125" s="571"/>
      <c r="U125" s="1416"/>
      <c r="V125" s="571"/>
      <c r="W125" s="571"/>
      <c r="X125" s="1416"/>
      <c r="Y125" s="571"/>
      <c r="Z125" s="571"/>
      <c r="AA125" s="571"/>
      <c r="AB125" s="571"/>
    </row>
    <row r="126" spans="1:30" ht="14.25" x14ac:dyDescent="0.2">
      <c r="C126" s="1416"/>
      <c r="D126" s="571"/>
      <c r="E126" s="571"/>
      <c r="F126" s="571"/>
      <c r="G126" s="1413"/>
      <c r="H126" s="1416"/>
      <c r="I126" s="572"/>
      <c r="J126" s="571"/>
      <c r="K126" s="571"/>
      <c r="L126" s="571"/>
      <c r="M126" s="571"/>
      <c r="N126" s="571"/>
      <c r="O126" s="571"/>
      <c r="P126" s="571"/>
      <c r="Q126" s="571"/>
      <c r="R126" s="571"/>
      <c r="S126" s="571"/>
      <c r="T126" s="571"/>
      <c r="U126" s="1416"/>
      <c r="V126" s="571"/>
      <c r="W126" s="571"/>
      <c r="X126" s="1416"/>
      <c r="Y126" s="571"/>
      <c r="Z126" s="571"/>
      <c r="AA126" s="571"/>
      <c r="AB126" s="571"/>
    </row>
    <row r="127" spans="1:30" ht="14.25" x14ac:dyDescent="0.2">
      <c r="C127" s="1417"/>
      <c r="D127" s="571"/>
      <c r="E127" s="571"/>
      <c r="F127" s="571"/>
      <c r="G127" s="1414"/>
      <c r="H127" s="1417"/>
      <c r="I127" s="572"/>
      <c r="J127" s="571"/>
      <c r="K127" s="571"/>
      <c r="L127" s="571"/>
      <c r="M127" s="571"/>
      <c r="N127" s="571"/>
      <c r="O127" s="571"/>
      <c r="P127" s="571"/>
      <c r="Q127" s="571"/>
      <c r="R127" s="571"/>
      <c r="S127" s="571"/>
      <c r="T127" s="571"/>
      <c r="U127" s="1417"/>
      <c r="V127" s="571"/>
      <c r="W127" s="571"/>
      <c r="X127" s="1417"/>
      <c r="Y127" s="571"/>
      <c r="Z127" s="571"/>
      <c r="AA127" s="571"/>
      <c r="AB127" s="571"/>
    </row>
    <row r="128" spans="1:30" ht="14.25" x14ac:dyDescent="0.2">
      <c r="C128" s="571"/>
      <c r="D128" s="571"/>
      <c r="E128" s="571"/>
      <c r="F128" s="571"/>
      <c r="G128" s="571"/>
      <c r="H128" s="571"/>
      <c r="I128" s="572"/>
      <c r="J128" s="571"/>
      <c r="K128" s="571"/>
      <c r="L128" s="571"/>
      <c r="M128" s="571"/>
      <c r="N128" s="571"/>
      <c r="O128" s="571"/>
      <c r="P128" s="571"/>
      <c r="Q128" s="571"/>
      <c r="R128" s="571"/>
      <c r="S128" s="571"/>
      <c r="T128" s="571"/>
      <c r="U128" s="571"/>
      <c r="V128" s="571"/>
      <c r="W128" s="571"/>
      <c r="X128" s="571"/>
      <c r="Y128" s="571"/>
      <c r="Z128" s="571"/>
      <c r="AA128" s="571"/>
      <c r="AB128" s="571"/>
    </row>
    <row r="129" spans="3:28" ht="14.25" x14ac:dyDescent="0.2">
      <c r="C129" s="578" t="s">
        <v>599</v>
      </c>
      <c r="D129" s="571"/>
      <c r="E129" s="571"/>
      <c r="F129" s="571"/>
      <c r="G129" s="578" t="s">
        <v>601</v>
      </c>
      <c r="H129" s="578" t="s">
        <v>599</v>
      </c>
      <c r="I129" s="571"/>
      <c r="J129" s="571"/>
      <c r="K129" s="571"/>
      <c r="L129" s="571"/>
      <c r="M129" s="571"/>
      <c r="N129" s="571"/>
      <c r="O129" s="571"/>
      <c r="P129" s="571"/>
      <c r="Q129" s="571"/>
      <c r="R129" s="571"/>
      <c r="S129" s="571"/>
      <c r="T129" s="571"/>
      <c r="U129" s="578" t="s">
        <v>376</v>
      </c>
      <c r="V129" s="571"/>
      <c r="W129" s="571"/>
      <c r="X129" s="578" t="s">
        <v>424</v>
      </c>
      <c r="Y129" s="571"/>
      <c r="Z129" s="571"/>
      <c r="AA129" s="571"/>
      <c r="AB129" s="571"/>
    </row>
    <row r="130" spans="3:28" ht="14.25" x14ac:dyDescent="0.2">
      <c r="C130" s="578" t="s">
        <v>605</v>
      </c>
      <c r="D130" s="571"/>
      <c r="E130" s="571"/>
      <c r="F130" s="571"/>
      <c r="G130" s="578" t="s">
        <v>607</v>
      </c>
      <c r="H130" s="578" t="s">
        <v>605</v>
      </c>
      <c r="I130" s="579"/>
      <c r="J130" s="571"/>
      <c r="K130" s="571"/>
      <c r="L130" s="571"/>
      <c r="M130" s="571"/>
      <c r="N130" s="571"/>
      <c r="O130" s="571"/>
      <c r="P130" s="571"/>
      <c r="Q130" s="571"/>
      <c r="R130" s="571"/>
      <c r="S130" s="571"/>
      <c r="T130" s="571"/>
      <c r="U130" s="578" t="s">
        <v>378</v>
      </c>
      <c r="V130" s="571"/>
      <c r="W130" s="571"/>
      <c r="X130" s="578" t="s">
        <v>428</v>
      </c>
      <c r="Y130" s="571"/>
      <c r="Z130" s="571"/>
      <c r="AA130" s="571"/>
      <c r="AB130" s="571"/>
    </row>
    <row r="131" spans="3:28" ht="14.25" x14ac:dyDescent="0.2">
      <c r="C131" s="578" t="s">
        <v>611</v>
      </c>
      <c r="D131" s="571"/>
      <c r="E131" s="571"/>
      <c r="F131" s="571"/>
      <c r="G131" s="578"/>
      <c r="H131" s="578" t="s">
        <v>611</v>
      </c>
      <c r="I131" s="579"/>
      <c r="J131" s="571"/>
      <c r="K131" s="571"/>
      <c r="L131" s="571"/>
      <c r="M131" s="571"/>
      <c r="N131" s="571"/>
      <c r="O131" s="571"/>
      <c r="P131" s="571"/>
      <c r="Q131" s="571"/>
      <c r="R131" s="571"/>
      <c r="S131" s="571"/>
      <c r="T131" s="571"/>
      <c r="U131" s="578" t="s">
        <v>436</v>
      </c>
      <c r="V131" s="571"/>
      <c r="W131" s="571"/>
      <c r="X131" s="578" t="s">
        <v>432</v>
      </c>
      <c r="Y131" s="571"/>
      <c r="Z131" s="571"/>
      <c r="AA131" s="571"/>
      <c r="AB131" s="571"/>
    </row>
    <row r="132" spans="3:28" ht="14.25" x14ac:dyDescent="0.2">
      <c r="C132" s="578" t="s">
        <v>614</v>
      </c>
      <c r="D132" s="571"/>
      <c r="E132" s="571"/>
      <c r="F132" s="571"/>
      <c r="G132" s="578"/>
      <c r="H132" s="578" t="s">
        <v>614</v>
      </c>
      <c r="I132" s="579"/>
      <c r="J132" s="571"/>
      <c r="K132" s="571"/>
      <c r="L132" s="571"/>
      <c r="M132" s="571"/>
      <c r="N132" s="571"/>
      <c r="O132" s="571"/>
      <c r="P132" s="571"/>
      <c r="Q132" s="571"/>
      <c r="R132" s="571"/>
      <c r="S132" s="571"/>
      <c r="T132" s="571"/>
      <c r="U132" s="578"/>
      <c r="V132" s="571"/>
      <c r="W132" s="571"/>
      <c r="X132" s="578" t="s">
        <v>436</v>
      </c>
      <c r="Y132" s="571"/>
      <c r="Z132" s="571"/>
      <c r="AA132" s="571"/>
      <c r="AB132" s="571"/>
    </row>
    <row r="133" spans="3:28" ht="14.25" x14ac:dyDescent="0.2">
      <c r="C133" s="578" t="s">
        <v>617</v>
      </c>
      <c r="D133" s="571"/>
      <c r="E133" s="571"/>
      <c r="F133" s="571"/>
      <c r="G133" s="578"/>
      <c r="H133" s="578" t="s">
        <v>617</v>
      </c>
      <c r="I133" s="579"/>
      <c r="J133" s="571"/>
      <c r="K133" s="571"/>
      <c r="L133" s="571"/>
      <c r="M133" s="571"/>
      <c r="N133" s="571"/>
      <c r="O133" s="571"/>
      <c r="P133" s="571"/>
      <c r="Q133" s="571"/>
      <c r="R133" s="571"/>
      <c r="S133" s="571"/>
      <c r="T133" s="571"/>
      <c r="U133" s="571"/>
      <c r="V133" s="571"/>
      <c r="W133" s="571"/>
      <c r="X133" s="578"/>
      <c r="Y133" s="571"/>
      <c r="Z133" s="571"/>
      <c r="AA133" s="571"/>
      <c r="AB133" s="571"/>
    </row>
    <row r="134" spans="3:28" ht="14.25" x14ac:dyDescent="0.2">
      <c r="C134" s="578" t="s">
        <v>620</v>
      </c>
      <c r="D134" s="571"/>
      <c r="E134" s="571"/>
      <c r="F134" s="571"/>
      <c r="G134" s="578"/>
      <c r="H134" s="578" t="s">
        <v>620</v>
      </c>
      <c r="I134" s="579"/>
      <c r="J134" s="571"/>
      <c r="K134" s="571"/>
      <c r="L134" s="571"/>
      <c r="M134" s="571"/>
      <c r="N134" s="571"/>
      <c r="O134" s="571"/>
      <c r="P134" s="571"/>
      <c r="Q134" s="571"/>
      <c r="R134" s="571"/>
      <c r="S134" s="571"/>
      <c r="T134" s="571"/>
      <c r="U134" s="571"/>
      <c r="V134" s="571"/>
      <c r="W134" s="571"/>
      <c r="X134" s="571"/>
      <c r="Y134" s="571"/>
      <c r="Z134" s="571"/>
      <c r="AA134" s="571"/>
      <c r="AB134" s="571"/>
    </row>
    <row r="135" spans="3:28" ht="14.25" x14ac:dyDescent="0.2">
      <c r="C135" s="578" t="s">
        <v>621</v>
      </c>
      <c r="D135" s="571"/>
      <c r="E135" s="571"/>
      <c r="F135" s="571"/>
      <c r="G135" s="578"/>
      <c r="H135" s="578" t="s">
        <v>621</v>
      </c>
      <c r="I135" s="579"/>
      <c r="J135" s="571"/>
      <c r="K135" s="571"/>
      <c r="L135" s="571"/>
      <c r="M135" s="571"/>
      <c r="N135" s="571"/>
      <c r="O135" s="571"/>
      <c r="P135" s="571"/>
      <c r="Q135" s="571"/>
      <c r="R135" s="571"/>
      <c r="S135" s="571"/>
      <c r="T135" s="571"/>
      <c r="U135" s="571"/>
      <c r="V135" s="571"/>
      <c r="W135" s="571"/>
      <c r="X135" s="571"/>
      <c r="Y135" s="571"/>
      <c r="Z135" s="571"/>
      <c r="AA135" s="571"/>
      <c r="AB135" s="571"/>
    </row>
    <row r="136" spans="3:28" ht="14.25" x14ac:dyDescent="0.2">
      <c r="C136" s="578" t="s">
        <v>622</v>
      </c>
      <c r="D136" s="571"/>
      <c r="E136" s="571"/>
      <c r="F136" s="571"/>
      <c r="G136" s="578"/>
      <c r="H136" s="578" t="s">
        <v>622</v>
      </c>
      <c r="I136" s="579"/>
      <c r="J136" s="571"/>
      <c r="K136" s="571"/>
      <c r="L136" s="571"/>
      <c r="M136" s="571"/>
      <c r="N136" s="571"/>
      <c r="O136" s="571"/>
      <c r="P136" s="571"/>
      <c r="Q136" s="571"/>
      <c r="R136" s="571"/>
      <c r="S136" s="571"/>
      <c r="T136" s="571"/>
      <c r="U136" s="571"/>
      <c r="V136" s="571"/>
      <c r="W136" s="571"/>
      <c r="X136" s="571"/>
      <c r="Y136" s="571"/>
      <c r="Z136" s="571"/>
      <c r="AA136" s="571"/>
      <c r="AB136" s="571"/>
    </row>
    <row r="137" spans="3:28" ht="14.25" x14ac:dyDescent="0.2">
      <c r="C137" s="610" t="s">
        <v>648</v>
      </c>
      <c r="D137" s="571"/>
      <c r="E137" s="571"/>
      <c r="F137" s="571"/>
      <c r="G137" s="578"/>
      <c r="H137" s="578" t="s">
        <v>350</v>
      </c>
      <c r="I137" s="579"/>
      <c r="J137" s="571"/>
      <c r="K137" s="571"/>
      <c r="L137" s="571"/>
      <c r="M137" s="571"/>
      <c r="N137" s="571"/>
      <c r="O137" s="571"/>
      <c r="P137" s="571"/>
      <c r="Q137" s="571"/>
      <c r="R137" s="571"/>
      <c r="S137" s="571"/>
      <c r="T137" s="571"/>
      <c r="U137" s="571"/>
      <c r="V137" s="571"/>
      <c r="W137" s="571"/>
      <c r="X137" s="571"/>
      <c r="Y137" s="571"/>
      <c r="Z137" s="571"/>
      <c r="AA137" s="571"/>
      <c r="AB137" s="571"/>
    </row>
    <row r="138" spans="3:28" ht="14.25" x14ac:dyDescent="0.2">
      <c r="C138" s="610" t="s">
        <v>649</v>
      </c>
      <c r="D138" s="571"/>
      <c r="E138" s="571"/>
      <c r="F138" s="571"/>
      <c r="G138" s="571"/>
      <c r="H138" s="571"/>
      <c r="I138" s="579"/>
      <c r="J138" s="571"/>
      <c r="K138" s="571"/>
      <c r="L138" s="571"/>
      <c r="M138" s="571"/>
      <c r="N138" s="571"/>
      <c r="O138" s="571"/>
      <c r="P138" s="571"/>
      <c r="Q138" s="571"/>
      <c r="R138" s="571"/>
      <c r="S138" s="571"/>
      <c r="T138" s="571"/>
      <c r="U138" s="571"/>
      <c r="V138" s="571"/>
      <c r="W138" s="571"/>
      <c r="X138" s="571"/>
      <c r="Y138" s="571"/>
      <c r="Z138" s="571"/>
      <c r="AA138" s="571"/>
      <c r="AB138" s="571"/>
    </row>
    <row r="139" spans="3:28" ht="14.25" x14ac:dyDescent="0.2">
      <c r="C139" s="578" t="s">
        <v>350</v>
      </c>
      <c r="D139" s="571"/>
      <c r="E139" s="571"/>
      <c r="F139" s="571"/>
      <c r="G139" s="571"/>
      <c r="H139" s="571"/>
      <c r="I139" s="571"/>
      <c r="J139" s="571"/>
      <c r="K139" s="571"/>
      <c r="L139" s="571"/>
      <c r="M139" s="571"/>
      <c r="N139" s="571"/>
      <c r="O139" s="571"/>
      <c r="P139" s="571"/>
      <c r="Q139" s="571"/>
      <c r="R139" s="571"/>
      <c r="S139" s="571"/>
      <c r="T139" s="571"/>
      <c r="U139" s="571"/>
      <c r="V139" s="571"/>
      <c r="W139" s="571"/>
      <c r="X139" s="571"/>
      <c r="Y139" s="571"/>
      <c r="Z139" s="571"/>
      <c r="AA139" s="571"/>
      <c r="AB139" s="571"/>
    </row>
    <row r="140" spans="3:28" x14ac:dyDescent="0.2">
      <c r="C140" s="571"/>
      <c r="D140" s="571"/>
      <c r="E140" s="571"/>
      <c r="F140" s="571"/>
      <c r="G140" s="571"/>
      <c r="H140" s="571"/>
      <c r="I140" s="571"/>
      <c r="J140" s="571"/>
      <c r="K140" s="571"/>
      <c r="L140" s="571"/>
      <c r="M140" s="571"/>
      <c r="N140" s="571"/>
      <c r="O140" s="571"/>
      <c r="P140" s="571"/>
      <c r="Q140" s="571"/>
      <c r="R140" s="571"/>
      <c r="S140" s="571"/>
      <c r="T140" s="571"/>
      <c r="U140" s="571"/>
      <c r="V140" s="571"/>
      <c r="W140" s="571"/>
      <c r="X140" s="571"/>
      <c r="Y140" s="571"/>
      <c r="Z140" s="571"/>
      <c r="AA140" s="571"/>
      <c r="AB140" s="571"/>
    </row>
    <row r="141" spans="3:28" x14ac:dyDescent="0.2">
      <c r="C141" s="571"/>
      <c r="D141" s="571"/>
      <c r="E141" s="571"/>
      <c r="F141" s="571"/>
      <c r="G141" s="571"/>
      <c r="H141" s="571"/>
      <c r="I141" s="571"/>
      <c r="J141" s="571"/>
      <c r="K141" s="571"/>
      <c r="L141" s="571"/>
      <c r="M141" s="571"/>
      <c r="N141" s="571"/>
      <c r="O141" s="571"/>
      <c r="P141" s="571"/>
      <c r="Q141" s="571"/>
      <c r="R141" s="571"/>
      <c r="S141" s="571"/>
      <c r="T141" s="571"/>
      <c r="U141" s="571"/>
      <c r="V141" s="571"/>
      <c r="W141" s="571"/>
      <c r="X141" s="571"/>
      <c r="Y141" s="571"/>
      <c r="Z141" s="571"/>
      <c r="AA141" s="571"/>
      <c r="AB141" s="571"/>
    </row>
  </sheetData>
  <dataConsolidate/>
  <mergeCells count="25">
    <mergeCell ref="L16:L18"/>
    <mergeCell ref="M16:M18"/>
    <mergeCell ref="N16:N18"/>
    <mergeCell ref="C16:C18"/>
    <mergeCell ref="D16:D18"/>
    <mergeCell ref="E16:E18"/>
    <mergeCell ref="F16:F18"/>
    <mergeCell ref="G16:G18"/>
    <mergeCell ref="H16:H18"/>
    <mergeCell ref="X16:Y17"/>
    <mergeCell ref="AA16:AA18"/>
    <mergeCell ref="C124:C127"/>
    <mergeCell ref="G124:G127"/>
    <mergeCell ref="H124:H127"/>
    <mergeCell ref="U124:U127"/>
    <mergeCell ref="X124:X127"/>
    <mergeCell ref="O16:O18"/>
    <mergeCell ref="P16:P18"/>
    <mergeCell ref="Q16:Q18"/>
    <mergeCell ref="R16:R18"/>
    <mergeCell ref="S16:S18"/>
    <mergeCell ref="U16:V17"/>
    <mergeCell ref="I16:I18"/>
    <mergeCell ref="J16:J18"/>
    <mergeCell ref="K16:K18"/>
  </mergeCells>
  <dataValidations count="13">
    <dataValidation type="list" allowBlank="1" showInputMessage="1" showErrorMessage="1" sqref="U20:U119">
      <formula1>$U$129:$U$131</formula1>
    </dataValidation>
    <dataValidation type="list" allowBlank="1" showInputMessage="1" showErrorMessage="1" sqref="X20:X119">
      <formula1>$X$129:$X$133</formula1>
    </dataValidation>
    <dataValidation type="list" errorStyle="information" allowBlank="1" showInputMessage="1" showErrorMessage="1" errorTitle="Financial Instrument Type" error="Please enter one of the following options:_x000a__x000a_Shares - Com/Ord_x000a_Shares - Pfds NC_x000a_Shares - Pfds C_x000a_Shares - Other_x000a_Hybrid_x000a_Debt - Sub_x000a_Debt - Snr_x000a_Debt - Other_x000a_Other" sqref="IW21:IW119 WVI983061:WVI983159 WLM983061:WLM983159 WBQ983061:WBQ983159 VRU983061:VRU983159 VHY983061:VHY983159 UYC983061:UYC983159 UOG983061:UOG983159 UEK983061:UEK983159 TUO983061:TUO983159 TKS983061:TKS983159 TAW983061:TAW983159 SRA983061:SRA983159 SHE983061:SHE983159 RXI983061:RXI983159 RNM983061:RNM983159 RDQ983061:RDQ983159 QTU983061:QTU983159 QJY983061:QJY983159 QAC983061:QAC983159 PQG983061:PQG983159 PGK983061:PGK983159 OWO983061:OWO983159 OMS983061:OMS983159 OCW983061:OCW983159 NTA983061:NTA983159 NJE983061:NJE983159 MZI983061:MZI983159 MPM983061:MPM983159 MFQ983061:MFQ983159 LVU983061:LVU983159 LLY983061:LLY983159 LCC983061:LCC983159 KSG983061:KSG983159 KIK983061:KIK983159 JYO983061:JYO983159 JOS983061:JOS983159 JEW983061:JEW983159 IVA983061:IVA983159 ILE983061:ILE983159 IBI983061:IBI983159 HRM983061:HRM983159 HHQ983061:HHQ983159 GXU983061:GXU983159 GNY983061:GNY983159 GEC983061:GEC983159 FUG983061:FUG983159 FKK983061:FKK983159 FAO983061:FAO983159 EQS983061:EQS983159 EGW983061:EGW983159 DXA983061:DXA983159 DNE983061:DNE983159 DDI983061:DDI983159 CTM983061:CTM983159 CJQ983061:CJQ983159 BZU983061:BZU983159 BPY983061:BPY983159 BGC983061:BGC983159 AWG983061:AWG983159 AMK983061:AMK983159 ACO983061:ACO983159 SS983061:SS983159 IW983061:IW983159 D983060:D983158 WVI917525:WVI917623 WLM917525:WLM917623 WBQ917525:WBQ917623 VRU917525:VRU917623 VHY917525:VHY917623 UYC917525:UYC917623 UOG917525:UOG917623 UEK917525:UEK917623 TUO917525:TUO917623 TKS917525:TKS917623 TAW917525:TAW917623 SRA917525:SRA917623 SHE917525:SHE917623 RXI917525:RXI917623 RNM917525:RNM917623 RDQ917525:RDQ917623 QTU917525:QTU917623 QJY917525:QJY917623 QAC917525:QAC917623 PQG917525:PQG917623 PGK917525:PGK917623 OWO917525:OWO917623 OMS917525:OMS917623 OCW917525:OCW917623 NTA917525:NTA917623 NJE917525:NJE917623 MZI917525:MZI917623 MPM917525:MPM917623 MFQ917525:MFQ917623 LVU917525:LVU917623 LLY917525:LLY917623 LCC917525:LCC917623 KSG917525:KSG917623 KIK917525:KIK917623 JYO917525:JYO917623 JOS917525:JOS917623 JEW917525:JEW917623 IVA917525:IVA917623 ILE917525:ILE917623 IBI917525:IBI917623 HRM917525:HRM917623 HHQ917525:HHQ917623 GXU917525:GXU917623 GNY917525:GNY917623 GEC917525:GEC917623 FUG917525:FUG917623 FKK917525:FKK917623 FAO917525:FAO917623 EQS917525:EQS917623 EGW917525:EGW917623 DXA917525:DXA917623 DNE917525:DNE917623 DDI917525:DDI917623 CTM917525:CTM917623 CJQ917525:CJQ917623 BZU917525:BZU917623 BPY917525:BPY917623 BGC917525:BGC917623 AWG917525:AWG917623 AMK917525:AMK917623 ACO917525:ACO917623 SS917525:SS917623 IW917525:IW917623 D917524:D917622 WVI851989:WVI852087 WLM851989:WLM852087 WBQ851989:WBQ852087 VRU851989:VRU852087 VHY851989:VHY852087 UYC851989:UYC852087 UOG851989:UOG852087 UEK851989:UEK852087 TUO851989:TUO852087 TKS851989:TKS852087 TAW851989:TAW852087 SRA851989:SRA852087 SHE851989:SHE852087 RXI851989:RXI852087 RNM851989:RNM852087 RDQ851989:RDQ852087 QTU851989:QTU852087 QJY851989:QJY852087 QAC851989:QAC852087 PQG851989:PQG852087 PGK851989:PGK852087 OWO851989:OWO852087 OMS851989:OMS852087 OCW851989:OCW852087 NTA851989:NTA852087 NJE851989:NJE852087 MZI851989:MZI852087 MPM851989:MPM852087 MFQ851989:MFQ852087 LVU851989:LVU852087 LLY851989:LLY852087 LCC851989:LCC852087 KSG851989:KSG852087 KIK851989:KIK852087 JYO851989:JYO852087 JOS851989:JOS852087 JEW851989:JEW852087 IVA851989:IVA852087 ILE851989:ILE852087 IBI851989:IBI852087 HRM851989:HRM852087 HHQ851989:HHQ852087 GXU851989:GXU852087 GNY851989:GNY852087 GEC851989:GEC852087 FUG851989:FUG852087 FKK851989:FKK852087 FAO851989:FAO852087 EQS851989:EQS852087 EGW851989:EGW852087 DXA851989:DXA852087 DNE851989:DNE852087 DDI851989:DDI852087 CTM851989:CTM852087 CJQ851989:CJQ852087 BZU851989:BZU852087 BPY851989:BPY852087 BGC851989:BGC852087 AWG851989:AWG852087 AMK851989:AMK852087 ACO851989:ACO852087 SS851989:SS852087 IW851989:IW852087 D851988:D852086 WVI786453:WVI786551 WLM786453:WLM786551 WBQ786453:WBQ786551 VRU786453:VRU786551 VHY786453:VHY786551 UYC786453:UYC786551 UOG786453:UOG786551 UEK786453:UEK786551 TUO786453:TUO786551 TKS786453:TKS786551 TAW786453:TAW786551 SRA786453:SRA786551 SHE786453:SHE786551 RXI786453:RXI786551 RNM786453:RNM786551 RDQ786453:RDQ786551 QTU786453:QTU786551 QJY786453:QJY786551 QAC786453:QAC786551 PQG786453:PQG786551 PGK786453:PGK786551 OWO786453:OWO786551 OMS786453:OMS786551 OCW786453:OCW786551 NTA786453:NTA786551 NJE786453:NJE786551 MZI786453:MZI786551 MPM786453:MPM786551 MFQ786453:MFQ786551 LVU786453:LVU786551 LLY786453:LLY786551 LCC786453:LCC786551 KSG786453:KSG786551 KIK786453:KIK786551 JYO786453:JYO786551 JOS786453:JOS786551 JEW786453:JEW786551 IVA786453:IVA786551 ILE786453:ILE786551 IBI786453:IBI786551 HRM786453:HRM786551 HHQ786453:HHQ786551 GXU786453:GXU786551 GNY786453:GNY786551 GEC786453:GEC786551 FUG786453:FUG786551 FKK786453:FKK786551 FAO786453:FAO786551 EQS786453:EQS786551 EGW786453:EGW786551 DXA786453:DXA786551 DNE786453:DNE786551 DDI786453:DDI786551 CTM786453:CTM786551 CJQ786453:CJQ786551 BZU786453:BZU786551 BPY786453:BPY786551 BGC786453:BGC786551 AWG786453:AWG786551 AMK786453:AMK786551 ACO786453:ACO786551 SS786453:SS786551 IW786453:IW786551 D786452:D786550 WVI720917:WVI721015 WLM720917:WLM721015 WBQ720917:WBQ721015 VRU720917:VRU721015 VHY720917:VHY721015 UYC720917:UYC721015 UOG720917:UOG721015 UEK720917:UEK721015 TUO720917:TUO721015 TKS720917:TKS721015 TAW720917:TAW721015 SRA720917:SRA721015 SHE720917:SHE721015 RXI720917:RXI721015 RNM720917:RNM721015 RDQ720917:RDQ721015 QTU720917:QTU721015 QJY720917:QJY721015 QAC720917:QAC721015 PQG720917:PQG721015 PGK720917:PGK721015 OWO720917:OWO721015 OMS720917:OMS721015 OCW720917:OCW721015 NTA720917:NTA721015 NJE720917:NJE721015 MZI720917:MZI721015 MPM720917:MPM721015 MFQ720917:MFQ721015 LVU720917:LVU721015 LLY720917:LLY721015 LCC720917:LCC721015 KSG720917:KSG721015 KIK720917:KIK721015 JYO720917:JYO721015 JOS720917:JOS721015 JEW720917:JEW721015 IVA720917:IVA721015 ILE720917:ILE721015 IBI720917:IBI721015 HRM720917:HRM721015 HHQ720917:HHQ721015 GXU720917:GXU721015 GNY720917:GNY721015 GEC720917:GEC721015 FUG720917:FUG721015 FKK720917:FKK721015 FAO720917:FAO721015 EQS720917:EQS721015 EGW720917:EGW721015 DXA720917:DXA721015 DNE720917:DNE721015 DDI720917:DDI721015 CTM720917:CTM721015 CJQ720917:CJQ721015 BZU720917:BZU721015 BPY720917:BPY721015 BGC720917:BGC721015 AWG720917:AWG721015 AMK720917:AMK721015 ACO720917:ACO721015 SS720917:SS721015 IW720917:IW721015 D720916:D721014 WVI655381:WVI655479 WLM655381:WLM655479 WBQ655381:WBQ655479 VRU655381:VRU655479 VHY655381:VHY655479 UYC655381:UYC655479 UOG655381:UOG655479 UEK655381:UEK655479 TUO655381:TUO655479 TKS655381:TKS655479 TAW655381:TAW655479 SRA655381:SRA655479 SHE655381:SHE655479 RXI655381:RXI655479 RNM655381:RNM655479 RDQ655381:RDQ655479 QTU655381:QTU655479 QJY655381:QJY655479 QAC655381:QAC655479 PQG655381:PQG655479 PGK655381:PGK655479 OWO655381:OWO655479 OMS655381:OMS655479 OCW655381:OCW655479 NTA655381:NTA655479 NJE655381:NJE655479 MZI655381:MZI655479 MPM655381:MPM655479 MFQ655381:MFQ655479 LVU655381:LVU655479 LLY655381:LLY655479 LCC655381:LCC655479 KSG655381:KSG655479 KIK655381:KIK655479 JYO655381:JYO655479 JOS655381:JOS655479 JEW655381:JEW655479 IVA655381:IVA655479 ILE655381:ILE655479 IBI655381:IBI655479 HRM655381:HRM655479 HHQ655381:HHQ655479 GXU655381:GXU655479 GNY655381:GNY655479 GEC655381:GEC655479 FUG655381:FUG655479 FKK655381:FKK655479 FAO655381:FAO655479 EQS655381:EQS655479 EGW655381:EGW655479 DXA655381:DXA655479 DNE655381:DNE655479 DDI655381:DDI655479 CTM655381:CTM655479 CJQ655381:CJQ655479 BZU655381:BZU655479 BPY655381:BPY655479 BGC655381:BGC655479 AWG655381:AWG655479 AMK655381:AMK655479 ACO655381:ACO655479 SS655381:SS655479 IW655381:IW655479 D655380:D655478 WVI589845:WVI589943 WLM589845:WLM589943 WBQ589845:WBQ589943 VRU589845:VRU589943 VHY589845:VHY589943 UYC589845:UYC589943 UOG589845:UOG589943 UEK589845:UEK589943 TUO589845:TUO589943 TKS589845:TKS589943 TAW589845:TAW589943 SRA589845:SRA589943 SHE589845:SHE589943 RXI589845:RXI589943 RNM589845:RNM589943 RDQ589845:RDQ589943 QTU589845:QTU589943 QJY589845:QJY589943 QAC589845:QAC589943 PQG589845:PQG589943 PGK589845:PGK589943 OWO589845:OWO589943 OMS589845:OMS589943 OCW589845:OCW589943 NTA589845:NTA589943 NJE589845:NJE589943 MZI589845:MZI589943 MPM589845:MPM589943 MFQ589845:MFQ589943 LVU589845:LVU589943 LLY589845:LLY589943 LCC589845:LCC589943 KSG589845:KSG589943 KIK589845:KIK589943 JYO589845:JYO589943 JOS589845:JOS589943 JEW589845:JEW589943 IVA589845:IVA589943 ILE589845:ILE589943 IBI589845:IBI589943 HRM589845:HRM589943 HHQ589845:HHQ589943 GXU589845:GXU589943 GNY589845:GNY589943 GEC589845:GEC589943 FUG589845:FUG589943 FKK589845:FKK589943 FAO589845:FAO589943 EQS589845:EQS589943 EGW589845:EGW589943 DXA589845:DXA589943 DNE589845:DNE589943 DDI589845:DDI589943 CTM589845:CTM589943 CJQ589845:CJQ589943 BZU589845:BZU589943 BPY589845:BPY589943 BGC589845:BGC589943 AWG589845:AWG589943 AMK589845:AMK589943 ACO589845:ACO589943 SS589845:SS589943 IW589845:IW589943 D589844:D589942 WVI524309:WVI524407 WLM524309:WLM524407 WBQ524309:WBQ524407 VRU524309:VRU524407 VHY524309:VHY524407 UYC524309:UYC524407 UOG524309:UOG524407 UEK524309:UEK524407 TUO524309:TUO524407 TKS524309:TKS524407 TAW524309:TAW524407 SRA524309:SRA524407 SHE524309:SHE524407 RXI524309:RXI524407 RNM524309:RNM524407 RDQ524309:RDQ524407 QTU524309:QTU524407 QJY524309:QJY524407 QAC524309:QAC524407 PQG524309:PQG524407 PGK524309:PGK524407 OWO524309:OWO524407 OMS524309:OMS524407 OCW524309:OCW524407 NTA524309:NTA524407 NJE524309:NJE524407 MZI524309:MZI524407 MPM524309:MPM524407 MFQ524309:MFQ524407 LVU524309:LVU524407 LLY524309:LLY524407 LCC524309:LCC524407 KSG524309:KSG524407 KIK524309:KIK524407 JYO524309:JYO524407 JOS524309:JOS524407 JEW524309:JEW524407 IVA524309:IVA524407 ILE524309:ILE524407 IBI524309:IBI524407 HRM524309:HRM524407 HHQ524309:HHQ524407 GXU524309:GXU524407 GNY524309:GNY524407 GEC524309:GEC524407 FUG524309:FUG524407 FKK524309:FKK524407 FAO524309:FAO524407 EQS524309:EQS524407 EGW524309:EGW524407 DXA524309:DXA524407 DNE524309:DNE524407 DDI524309:DDI524407 CTM524309:CTM524407 CJQ524309:CJQ524407 BZU524309:BZU524407 BPY524309:BPY524407 BGC524309:BGC524407 AWG524309:AWG524407 AMK524309:AMK524407 ACO524309:ACO524407 SS524309:SS524407 IW524309:IW524407 D524308:D524406 WVI458773:WVI458871 WLM458773:WLM458871 WBQ458773:WBQ458871 VRU458773:VRU458871 VHY458773:VHY458871 UYC458773:UYC458871 UOG458773:UOG458871 UEK458773:UEK458871 TUO458773:TUO458871 TKS458773:TKS458871 TAW458773:TAW458871 SRA458773:SRA458871 SHE458773:SHE458871 RXI458773:RXI458871 RNM458773:RNM458871 RDQ458773:RDQ458871 QTU458773:QTU458871 QJY458773:QJY458871 QAC458773:QAC458871 PQG458773:PQG458871 PGK458773:PGK458871 OWO458773:OWO458871 OMS458773:OMS458871 OCW458773:OCW458871 NTA458773:NTA458871 NJE458773:NJE458871 MZI458773:MZI458871 MPM458773:MPM458871 MFQ458773:MFQ458871 LVU458773:LVU458871 LLY458773:LLY458871 LCC458773:LCC458871 KSG458773:KSG458871 KIK458773:KIK458871 JYO458773:JYO458871 JOS458773:JOS458871 JEW458773:JEW458871 IVA458773:IVA458871 ILE458773:ILE458871 IBI458773:IBI458871 HRM458773:HRM458871 HHQ458773:HHQ458871 GXU458773:GXU458871 GNY458773:GNY458871 GEC458773:GEC458871 FUG458773:FUG458871 FKK458773:FKK458871 FAO458773:FAO458871 EQS458773:EQS458871 EGW458773:EGW458871 DXA458773:DXA458871 DNE458773:DNE458871 DDI458773:DDI458871 CTM458773:CTM458871 CJQ458773:CJQ458871 BZU458773:BZU458871 BPY458773:BPY458871 BGC458773:BGC458871 AWG458773:AWG458871 AMK458773:AMK458871 ACO458773:ACO458871 SS458773:SS458871 IW458773:IW458871 D458772:D458870 WVI393237:WVI393335 WLM393237:WLM393335 WBQ393237:WBQ393335 VRU393237:VRU393335 VHY393237:VHY393335 UYC393237:UYC393335 UOG393237:UOG393335 UEK393237:UEK393335 TUO393237:TUO393335 TKS393237:TKS393335 TAW393237:TAW393335 SRA393237:SRA393335 SHE393237:SHE393335 RXI393237:RXI393335 RNM393237:RNM393335 RDQ393237:RDQ393335 QTU393237:QTU393335 QJY393237:QJY393335 QAC393237:QAC393335 PQG393237:PQG393335 PGK393237:PGK393335 OWO393237:OWO393335 OMS393237:OMS393335 OCW393237:OCW393335 NTA393237:NTA393335 NJE393237:NJE393335 MZI393237:MZI393335 MPM393237:MPM393335 MFQ393237:MFQ393335 LVU393237:LVU393335 LLY393237:LLY393335 LCC393237:LCC393335 KSG393237:KSG393335 KIK393237:KIK393335 JYO393237:JYO393335 JOS393237:JOS393335 JEW393237:JEW393335 IVA393237:IVA393335 ILE393237:ILE393335 IBI393237:IBI393335 HRM393237:HRM393335 HHQ393237:HHQ393335 GXU393237:GXU393335 GNY393237:GNY393335 GEC393237:GEC393335 FUG393237:FUG393335 FKK393237:FKK393335 FAO393237:FAO393335 EQS393237:EQS393335 EGW393237:EGW393335 DXA393237:DXA393335 DNE393237:DNE393335 DDI393237:DDI393335 CTM393237:CTM393335 CJQ393237:CJQ393335 BZU393237:BZU393335 BPY393237:BPY393335 BGC393237:BGC393335 AWG393237:AWG393335 AMK393237:AMK393335 ACO393237:ACO393335 SS393237:SS393335 IW393237:IW393335 D393236:D393334 WVI327701:WVI327799 WLM327701:WLM327799 WBQ327701:WBQ327799 VRU327701:VRU327799 VHY327701:VHY327799 UYC327701:UYC327799 UOG327701:UOG327799 UEK327701:UEK327799 TUO327701:TUO327799 TKS327701:TKS327799 TAW327701:TAW327799 SRA327701:SRA327799 SHE327701:SHE327799 RXI327701:RXI327799 RNM327701:RNM327799 RDQ327701:RDQ327799 QTU327701:QTU327799 QJY327701:QJY327799 QAC327701:QAC327799 PQG327701:PQG327799 PGK327701:PGK327799 OWO327701:OWO327799 OMS327701:OMS327799 OCW327701:OCW327799 NTA327701:NTA327799 NJE327701:NJE327799 MZI327701:MZI327799 MPM327701:MPM327799 MFQ327701:MFQ327799 LVU327701:LVU327799 LLY327701:LLY327799 LCC327701:LCC327799 KSG327701:KSG327799 KIK327701:KIK327799 JYO327701:JYO327799 JOS327701:JOS327799 JEW327701:JEW327799 IVA327701:IVA327799 ILE327701:ILE327799 IBI327701:IBI327799 HRM327701:HRM327799 HHQ327701:HHQ327799 GXU327701:GXU327799 GNY327701:GNY327799 GEC327701:GEC327799 FUG327701:FUG327799 FKK327701:FKK327799 FAO327701:FAO327799 EQS327701:EQS327799 EGW327701:EGW327799 DXA327701:DXA327799 DNE327701:DNE327799 DDI327701:DDI327799 CTM327701:CTM327799 CJQ327701:CJQ327799 BZU327701:BZU327799 BPY327701:BPY327799 BGC327701:BGC327799 AWG327701:AWG327799 AMK327701:AMK327799 ACO327701:ACO327799 SS327701:SS327799 IW327701:IW327799 D327700:D327798 WVI262165:WVI262263 WLM262165:WLM262263 WBQ262165:WBQ262263 VRU262165:VRU262263 VHY262165:VHY262263 UYC262165:UYC262263 UOG262165:UOG262263 UEK262165:UEK262263 TUO262165:TUO262263 TKS262165:TKS262263 TAW262165:TAW262263 SRA262165:SRA262263 SHE262165:SHE262263 RXI262165:RXI262263 RNM262165:RNM262263 RDQ262165:RDQ262263 QTU262165:QTU262263 QJY262165:QJY262263 QAC262165:QAC262263 PQG262165:PQG262263 PGK262165:PGK262263 OWO262165:OWO262263 OMS262165:OMS262263 OCW262165:OCW262263 NTA262165:NTA262263 NJE262165:NJE262263 MZI262165:MZI262263 MPM262165:MPM262263 MFQ262165:MFQ262263 LVU262165:LVU262263 LLY262165:LLY262263 LCC262165:LCC262263 KSG262165:KSG262263 KIK262165:KIK262263 JYO262165:JYO262263 JOS262165:JOS262263 JEW262165:JEW262263 IVA262165:IVA262263 ILE262165:ILE262263 IBI262165:IBI262263 HRM262165:HRM262263 HHQ262165:HHQ262263 GXU262165:GXU262263 GNY262165:GNY262263 GEC262165:GEC262263 FUG262165:FUG262263 FKK262165:FKK262263 FAO262165:FAO262263 EQS262165:EQS262263 EGW262165:EGW262263 DXA262165:DXA262263 DNE262165:DNE262263 DDI262165:DDI262263 CTM262165:CTM262263 CJQ262165:CJQ262263 BZU262165:BZU262263 BPY262165:BPY262263 BGC262165:BGC262263 AWG262165:AWG262263 AMK262165:AMK262263 ACO262165:ACO262263 SS262165:SS262263 IW262165:IW262263 D262164:D262262 WVI196629:WVI196727 WLM196629:WLM196727 WBQ196629:WBQ196727 VRU196629:VRU196727 VHY196629:VHY196727 UYC196629:UYC196727 UOG196629:UOG196727 UEK196629:UEK196727 TUO196629:TUO196727 TKS196629:TKS196727 TAW196629:TAW196727 SRA196629:SRA196727 SHE196629:SHE196727 RXI196629:RXI196727 RNM196629:RNM196727 RDQ196629:RDQ196727 QTU196629:QTU196727 QJY196629:QJY196727 QAC196629:QAC196727 PQG196629:PQG196727 PGK196629:PGK196727 OWO196629:OWO196727 OMS196629:OMS196727 OCW196629:OCW196727 NTA196629:NTA196727 NJE196629:NJE196727 MZI196629:MZI196727 MPM196629:MPM196727 MFQ196629:MFQ196727 LVU196629:LVU196727 LLY196629:LLY196727 LCC196629:LCC196727 KSG196629:KSG196727 KIK196629:KIK196727 JYO196629:JYO196727 JOS196629:JOS196727 JEW196629:JEW196727 IVA196629:IVA196727 ILE196629:ILE196727 IBI196629:IBI196727 HRM196629:HRM196727 HHQ196629:HHQ196727 GXU196629:GXU196727 GNY196629:GNY196727 GEC196629:GEC196727 FUG196629:FUG196727 FKK196629:FKK196727 FAO196629:FAO196727 EQS196629:EQS196727 EGW196629:EGW196727 DXA196629:DXA196727 DNE196629:DNE196727 DDI196629:DDI196727 CTM196629:CTM196727 CJQ196629:CJQ196727 BZU196629:BZU196727 BPY196629:BPY196727 BGC196629:BGC196727 AWG196629:AWG196727 AMK196629:AMK196727 ACO196629:ACO196727 SS196629:SS196727 IW196629:IW196727 D196628:D196726 WVI131093:WVI131191 WLM131093:WLM131191 WBQ131093:WBQ131191 VRU131093:VRU131191 VHY131093:VHY131191 UYC131093:UYC131191 UOG131093:UOG131191 UEK131093:UEK131191 TUO131093:TUO131191 TKS131093:TKS131191 TAW131093:TAW131191 SRA131093:SRA131191 SHE131093:SHE131191 RXI131093:RXI131191 RNM131093:RNM131191 RDQ131093:RDQ131191 QTU131093:QTU131191 QJY131093:QJY131191 QAC131093:QAC131191 PQG131093:PQG131191 PGK131093:PGK131191 OWO131093:OWO131191 OMS131093:OMS131191 OCW131093:OCW131191 NTA131093:NTA131191 NJE131093:NJE131191 MZI131093:MZI131191 MPM131093:MPM131191 MFQ131093:MFQ131191 LVU131093:LVU131191 LLY131093:LLY131191 LCC131093:LCC131191 KSG131093:KSG131191 KIK131093:KIK131191 JYO131093:JYO131191 JOS131093:JOS131191 JEW131093:JEW131191 IVA131093:IVA131191 ILE131093:ILE131191 IBI131093:IBI131191 HRM131093:HRM131191 HHQ131093:HHQ131191 GXU131093:GXU131191 GNY131093:GNY131191 GEC131093:GEC131191 FUG131093:FUG131191 FKK131093:FKK131191 FAO131093:FAO131191 EQS131093:EQS131191 EGW131093:EGW131191 DXA131093:DXA131191 DNE131093:DNE131191 DDI131093:DDI131191 CTM131093:CTM131191 CJQ131093:CJQ131191 BZU131093:BZU131191 BPY131093:BPY131191 BGC131093:BGC131191 AWG131093:AWG131191 AMK131093:AMK131191 ACO131093:ACO131191 SS131093:SS131191 IW131093:IW131191 D131092:D131190 WVI65557:WVI65655 WLM65557:WLM65655 WBQ65557:WBQ65655 VRU65557:VRU65655 VHY65557:VHY65655 UYC65557:UYC65655 UOG65557:UOG65655 UEK65557:UEK65655 TUO65557:TUO65655 TKS65557:TKS65655 TAW65557:TAW65655 SRA65557:SRA65655 SHE65557:SHE65655 RXI65557:RXI65655 RNM65557:RNM65655 RDQ65557:RDQ65655 QTU65557:QTU65655 QJY65557:QJY65655 QAC65557:QAC65655 PQG65557:PQG65655 PGK65557:PGK65655 OWO65557:OWO65655 OMS65557:OMS65655 OCW65557:OCW65655 NTA65557:NTA65655 NJE65557:NJE65655 MZI65557:MZI65655 MPM65557:MPM65655 MFQ65557:MFQ65655 LVU65557:LVU65655 LLY65557:LLY65655 LCC65557:LCC65655 KSG65557:KSG65655 KIK65557:KIK65655 JYO65557:JYO65655 JOS65557:JOS65655 JEW65557:JEW65655 IVA65557:IVA65655 ILE65557:ILE65655 IBI65557:IBI65655 HRM65557:HRM65655 HHQ65557:HHQ65655 GXU65557:GXU65655 GNY65557:GNY65655 GEC65557:GEC65655 FUG65557:FUG65655 FKK65557:FKK65655 FAO65557:FAO65655 EQS65557:EQS65655 EGW65557:EGW65655 DXA65557:DXA65655 DNE65557:DNE65655 DDI65557:DDI65655 CTM65557:CTM65655 CJQ65557:CJQ65655 BZU65557:BZU65655 BPY65557:BPY65655 BGC65557:BGC65655 AWG65557:AWG65655 AMK65557:AMK65655 ACO65557:ACO65655 SS65557:SS65655 IW65557:IW65655 D65556:D65654 WVI21:WVI119 WLM21:WLM119 WBQ21:WBQ119 VRU21:VRU119 VHY21:VHY119 UYC21:UYC119 UOG21:UOG119 UEK21:UEK119 TUO21:TUO119 TKS21:TKS119 TAW21:TAW119 SRA21:SRA119 SHE21:SHE119 RXI21:RXI119 RNM21:RNM119 RDQ21:RDQ119 QTU21:QTU119 QJY21:QJY119 QAC21:QAC119 PQG21:PQG119 PGK21:PGK119 OWO21:OWO119 OMS21:OMS119 OCW21:OCW119 NTA21:NTA119 NJE21:NJE119 MZI21:MZI119 MPM21:MPM119 MFQ21:MFQ119 LVU21:LVU119 LLY21:LLY119 LCC21:LCC119 KSG21:KSG119 KIK21:KIK119 JYO21:JYO119 JOS21:JOS119 JEW21:JEW119 IVA21:IVA119 ILE21:ILE119 IBI21:IBI119 HRM21:HRM119 HHQ21:HHQ119 GXU21:GXU119 GNY21:GNY119 GEC21:GEC119 FUG21:FUG119 FKK21:FKK119 FAO21:FAO119 EQS21:EQS119 EGW21:EGW119 DXA21:DXA119 DNE21:DNE119 DDI21:DDI119 CTM21:CTM119 CJQ21:CJQ119 BZU21:BZU119 BPY21:BPY119 BGC21:BGC119 AWG21:AWG119 AMK21:AMK119 ACO21:ACO119 SS21:SS119">
      <formula1>$H$129:$H$137</formula1>
    </dataValidation>
    <dataValidation type="list" allowBlank="1" showInputMessage="1" showErrorMessage="1" sqref="H20:H119">
      <formula1>$H$129:$H$137</formula1>
    </dataValidation>
    <dataValidation type="list" errorStyle="information" allowBlank="1" showInputMessage="1" showErrorMessage="1" errorTitle="Yes or No" error="Please input either:_x000a__x000a_Y = Yes_x000a_N = No" sqref="WVV983062:WVV983159 WLZ983062:WLZ983159 TD22:TD119 ACZ22:ACZ119 AMV22:AMV119 AWR22:AWR119 BGN22:BGN119 BQJ22:BQJ119 CAF22:CAF119 CKB22:CKB119 CTX22:CTX119 DDT22:DDT119 DNP22:DNP119 DXL22:DXL119 EHH22:EHH119 ERD22:ERD119 FAZ22:FAZ119 FKV22:FKV119 FUR22:FUR119 GEN22:GEN119 GOJ22:GOJ119 GYF22:GYF119 HIB22:HIB119 HRX22:HRX119 IBT22:IBT119 ILP22:ILP119 IVL22:IVL119 JFH22:JFH119 JPD22:JPD119 JYZ22:JYZ119 KIV22:KIV119 KSR22:KSR119 LCN22:LCN119 LMJ22:LMJ119 LWF22:LWF119 MGB22:MGB119 MPX22:MPX119 MZT22:MZT119 NJP22:NJP119 NTL22:NTL119 ODH22:ODH119 OND22:OND119 OWZ22:OWZ119 PGV22:PGV119 PQR22:PQR119 QAN22:QAN119 QKJ22:QKJ119 QUF22:QUF119 REB22:REB119 RNX22:RNX119 RXT22:RXT119 SHP22:SHP119 SRL22:SRL119 TBH22:TBH119 TLD22:TLD119 TUZ22:TUZ119 UEV22:UEV119 UOR22:UOR119 UYN22:UYN119 VIJ22:VIJ119 VSF22:VSF119 WCB22:WCB119 WLX22:WLX119 WVT22:WVT119 JH65558:JH65655 TD65558:TD65655 ACZ65558:ACZ65655 AMV65558:AMV65655 AWR65558:AWR65655 BGN65558:BGN65655 BQJ65558:BQJ65655 CAF65558:CAF65655 CKB65558:CKB65655 CTX65558:CTX65655 DDT65558:DDT65655 DNP65558:DNP65655 DXL65558:DXL65655 EHH65558:EHH65655 ERD65558:ERD65655 FAZ65558:FAZ65655 FKV65558:FKV65655 FUR65558:FUR65655 GEN65558:GEN65655 GOJ65558:GOJ65655 GYF65558:GYF65655 HIB65558:HIB65655 HRX65558:HRX65655 IBT65558:IBT65655 ILP65558:ILP65655 IVL65558:IVL65655 JFH65558:JFH65655 JPD65558:JPD65655 JYZ65558:JYZ65655 KIV65558:KIV65655 KSR65558:KSR65655 LCN65558:LCN65655 LMJ65558:LMJ65655 LWF65558:LWF65655 MGB65558:MGB65655 MPX65558:MPX65655 MZT65558:MZT65655 NJP65558:NJP65655 NTL65558:NTL65655 ODH65558:ODH65655 OND65558:OND65655 OWZ65558:OWZ65655 PGV65558:PGV65655 PQR65558:PQR65655 QAN65558:QAN65655 QKJ65558:QKJ65655 QUF65558:QUF65655 REB65558:REB65655 RNX65558:RNX65655 RXT65558:RXT65655 SHP65558:SHP65655 SRL65558:SRL65655 TBH65558:TBH65655 TLD65558:TLD65655 TUZ65558:TUZ65655 UEV65558:UEV65655 UOR65558:UOR65655 UYN65558:UYN65655 VIJ65558:VIJ65655 VSF65558:VSF65655 WCB65558:WCB65655 WLX65558:WLX65655 WVT65558:WVT65655 JH131094:JH131191 TD131094:TD131191 ACZ131094:ACZ131191 AMV131094:AMV131191 AWR131094:AWR131191 BGN131094:BGN131191 BQJ131094:BQJ131191 CAF131094:CAF131191 CKB131094:CKB131191 CTX131094:CTX131191 DDT131094:DDT131191 DNP131094:DNP131191 DXL131094:DXL131191 EHH131094:EHH131191 ERD131094:ERD131191 FAZ131094:FAZ131191 FKV131094:FKV131191 FUR131094:FUR131191 GEN131094:GEN131191 GOJ131094:GOJ131191 GYF131094:GYF131191 HIB131094:HIB131191 HRX131094:HRX131191 IBT131094:IBT131191 ILP131094:ILP131191 IVL131094:IVL131191 JFH131094:JFH131191 JPD131094:JPD131191 JYZ131094:JYZ131191 KIV131094:KIV131191 KSR131094:KSR131191 LCN131094:LCN131191 LMJ131094:LMJ131191 LWF131094:LWF131191 MGB131094:MGB131191 MPX131094:MPX131191 MZT131094:MZT131191 NJP131094:NJP131191 NTL131094:NTL131191 ODH131094:ODH131191 OND131094:OND131191 OWZ131094:OWZ131191 PGV131094:PGV131191 PQR131094:PQR131191 QAN131094:QAN131191 QKJ131094:QKJ131191 QUF131094:QUF131191 REB131094:REB131191 RNX131094:RNX131191 RXT131094:RXT131191 SHP131094:SHP131191 SRL131094:SRL131191 TBH131094:TBH131191 TLD131094:TLD131191 TUZ131094:TUZ131191 UEV131094:UEV131191 UOR131094:UOR131191 UYN131094:UYN131191 VIJ131094:VIJ131191 VSF131094:VSF131191 WCB131094:WCB131191 WLX131094:WLX131191 WVT131094:WVT131191 JH196630:JH196727 TD196630:TD196727 ACZ196630:ACZ196727 AMV196630:AMV196727 AWR196630:AWR196727 BGN196630:BGN196727 BQJ196630:BQJ196727 CAF196630:CAF196727 CKB196630:CKB196727 CTX196630:CTX196727 DDT196630:DDT196727 DNP196630:DNP196727 DXL196630:DXL196727 EHH196630:EHH196727 ERD196630:ERD196727 FAZ196630:FAZ196727 FKV196630:FKV196727 FUR196630:FUR196727 GEN196630:GEN196727 GOJ196630:GOJ196727 GYF196630:GYF196727 HIB196630:HIB196727 HRX196630:HRX196727 IBT196630:IBT196727 ILP196630:ILP196727 IVL196630:IVL196727 JFH196630:JFH196727 JPD196630:JPD196727 JYZ196630:JYZ196727 KIV196630:KIV196727 KSR196630:KSR196727 LCN196630:LCN196727 LMJ196630:LMJ196727 LWF196630:LWF196727 MGB196630:MGB196727 MPX196630:MPX196727 MZT196630:MZT196727 NJP196630:NJP196727 NTL196630:NTL196727 ODH196630:ODH196727 OND196630:OND196727 OWZ196630:OWZ196727 PGV196630:PGV196727 PQR196630:PQR196727 QAN196630:QAN196727 QKJ196630:QKJ196727 QUF196630:QUF196727 REB196630:REB196727 RNX196630:RNX196727 RXT196630:RXT196727 SHP196630:SHP196727 SRL196630:SRL196727 TBH196630:TBH196727 TLD196630:TLD196727 TUZ196630:TUZ196727 UEV196630:UEV196727 UOR196630:UOR196727 UYN196630:UYN196727 VIJ196630:VIJ196727 VSF196630:VSF196727 WCB196630:WCB196727 WLX196630:WLX196727 WVT196630:WVT196727 JH262166:JH262263 TD262166:TD262263 ACZ262166:ACZ262263 AMV262166:AMV262263 AWR262166:AWR262263 BGN262166:BGN262263 BQJ262166:BQJ262263 CAF262166:CAF262263 CKB262166:CKB262263 CTX262166:CTX262263 DDT262166:DDT262263 DNP262166:DNP262263 DXL262166:DXL262263 EHH262166:EHH262263 ERD262166:ERD262263 FAZ262166:FAZ262263 FKV262166:FKV262263 FUR262166:FUR262263 GEN262166:GEN262263 GOJ262166:GOJ262263 GYF262166:GYF262263 HIB262166:HIB262263 HRX262166:HRX262263 IBT262166:IBT262263 ILP262166:ILP262263 IVL262166:IVL262263 JFH262166:JFH262263 JPD262166:JPD262263 JYZ262166:JYZ262263 KIV262166:KIV262263 KSR262166:KSR262263 LCN262166:LCN262263 LMJ262166:LMJ262263 LWF262166:LWF262263 MGB262166:MGB262263 MPX262166:MPX262263 MZT262166:MZT262263 NJP262166:NJP262263 NTL262166:NTL262263 ODH262166:ODH262263 OND262166:OND262263 OWZ262166:OWZ262263 PGV262166:PGV262263 PQR262166:PQR262263 QAN262166:QAN262263 QKJ262166:QKJ262263 QUF262166:QUF262263 REB262166:REB262263 RNX262166:RNX262263 RXT262166:RXT262263 SHP262166:SHP262263 SRL262166:SRL262263 TBH262166:TBH262263 TLD262166:TLD262263 TUZ262166:TUZ262263 UEV262166:UEV262263 UOR262166:UOR262263 UYN262166:UYN262263 VIJ262166:VIJ262263 VSF262166:VSF262263 WCB262166:WCB262263 WLX262166:WLX262263 WVT262166:WVT262263 JH327702:JH327799 TD327702:TD327799 ACZ327702:ACZ327799 AMV327702:AMV327799 AWR327702:AWR327799 BGN327702:BGN327799 BQJ327702:BQJ327799 CAF327702:CAF327799 CKB327702:CKB327799 CTX327702:CTX327799 DDT327702:DDT327799 DNP327702:DNP327799 DXL327702:DXL327799 EHH327702:EHH327799 ERD327702:ERD327799 FAZ327702:FAZ327799 FKV327702:FKV327799 FUR327702:FUR327799 GEN327702:GEN327799 GOJ327702:GOJ327799 GYF327702:GYF327799 HIB327702:HIB327799 HRX327702:HRX327799 IBT327702:IBT327799 ILP327702:ILP327799 IVL327702:IVL327799 JFH327702:JFH327799 JPD327702:JPD327799 JYZ327702:JYZ327799 KIV327702:KIV327799 KSR327702:KSR327799 LCN327702:LCN327799 LMJ327702:LMJ327799 LWF327702:LWF327799 MGB327702:MGB327799 MPX327702:MPX327799 MZT327702:MZT327799 NJP327702:NJP327799 NTL327702:NTL327799 ODH327702:ODH327799 OND327702:OND327799 OWZ327702:OWZ327799 PGV327702:PGV327799 PQR327702:PQR327799 QAN327702:QAN327799 QKJ327702:QKJ327799 QUF327702:QUF327799 REB327702:REB327799 RNX327702:RNX327799 RXT327702:RXT327799 SHP327702:SHP327799 SRL327702:SRL327799 TBH327702:TBH327799 TLD327702:TLD327799 TUZ327702:TUZ327799 UEV327702:UEV327799 UOR327702:UOR327799 UYN327702:UYN327799 VIJ327702:VIJ327799 VSF327702:VSF327799 WCB327702:WCB327799 WLX327702:WLX327799 WVT327702:WVT327799 JH393238:JH393335 TD393238:TD393335 ACZ393238:ACZ393335 AMV393238:AMV393335 AWR393238:AWR393335 BGN393238:BGN393335 BQJ393238:BQJ393335 CAF393238:CAF393335 CKB393238:CKB393335 CTX393238:CTX393335 DDT393238:DDT393335 DNP393238:DNP393335 DXL393238:DXL393335 EHH393238:EHH393335 ERD393238:ERD393335 FAZ393238:FAZ393335 FKV393238:FKV393335 FUR393238:FUR393335 GEN393238:GEN393335 GOJ393238:GOJ393335 GYF393238:GYF393335 HIB393238:HIB393335 HRX393238:HRX393335 IBT393238:IBT393335 ILP393238:ILP393335 IVL393238:IVL393335 JFH393238:JFH393335 JPD393238:JPD393335 JYZ393238:JYZ393335 KIV393238:KIV393335 KSR393238:KSR393335 LCN393238:LCN393335 LMJ393238:LMJ393335 LWF393238:LWF393335 MGB393238:MGB393335 MPX393238:MPX393335 MZT393238:MZT393335 NJP393238:NJP393335 NTL393238:NTL393335 ODH393238:ODH393335 OND393238:OND393335 OWZ393238:OWZ393335 PGV393238:PGV393335 PQR393238:PQR393335 QAN393238:QAN393335 QKJ393238:QKJ393335 QUF393238:QUF393335 REB393238:REB393335 RNX393238:RNX393335 RXT393238:RXT393335 SHP393238:SHP393335 SRL393238:SRL393335 TBH393238:TBH393335 TLD393238:TLD393335 TUZ393238:TUZ393335 UEV393238:UEV393335 UOR393238:UOR393335 UYN393238:UYN393335 VIJ393238:VIJ393335 VSF393238:VSF393335 WCB393238:WCB393335 WLX393238:WLX393335 WVT393238:WVT393335 JH458774:JH458871 TD458774:TD458871 ACZ458774:ACZ458871 AMV458774:AMV458871 AWR458774:AWR458871 BGN458774:BGN458871 BQJ458774:BQJ458871 CAF458774:CAF458871 CKB458774:CKB458871 CTX458774:CTX458871 DDT458774:DDT458871 DNP458774:DNP458871 DXL458774:DXL458871 EHH458774:EHH458871 ERD458774:ERD458871 FAZ458774:FAZ458871 FKV458774:FKV458871 FUR458774:FUR458871 GEN458774:GEN458871 GOJ458774:GOJ458871 GYF458774:GYF458871 HIB458774:HIB458871 HRX458774:HRX458871 IBT458774:IBT458871 ILP458774:ILP458871 IVL458774:IVL458871 JFH458774:JFH458871 JPD458774:JPD458871 JYZ458774:JYZ458871 KIV458774:KIV458871 KSR458774:KSR458871 LCN458774:LCN458871 LMJ458774:LMJ458871 LWF458774:LWF458871 MGB458774:MGB458871 MPX458774:MPX458871 MZT458774:MZT458871 NJP458774:NJP458871 NTL458774:NTL458871 ODH458774:ODH458871 OND458774:OND458871 OWZ458774:OWZ458871 PGV458774:PGV458871 PQR458774:PQR458871 QAN458774:QAN458871 QKJ458774:QKJ458871 QUF458774:QUF458871 REB458774:REB458871 RNX458774:RNX458871 RXT458774:RXT458871 SHP458774:SHP458871 SRL458774:SRL458871 TBH458774:TBH458871 TLD458774:TLD458871 TUZ458774:TUZ458871 UEV458774:UEV458871 UOR458774:UOR458871 UYN458774:UYN458871 VIJ458774:VIJ458871 VSF458774:VSF458871 WCB458774:WCB458871 WLX458774:WLX458871 WVT458774:WVT458871 JH524310:JH524407 TD524310:TD524407 ACZ524310:ACZ524407 AMV524310:AMV524407 AWR524310:AWR524407 BGN524310:BGN524407 BQJ524310:BQJ524407 CAF524310:CAF524407 CKB524310:CKB524407 CTX524310:CTX524407 DDT524310:DDT524407 DNP524310:DNP524407 DXL524310:DXL524407 EHH524310:EHH524407 ERD524310:ERD524407 FAZ524310:FAZ524407 FKV524310:FKV524407 FUR524310:FUR524407 GEN524310:GEN524407 GOJ524310:GOJ524407 GYF524310:GYF524407 HIB524310:HIB524407 HRX524310:HRX524407 IBT524310:IBT524407 ILP524310:ILP524407 IVL524310:IVL524407 JFH524310:JFH524407 JPD524310:JPD524407 JYZ524310:JYZ524407 KIV524310:KIV524407 KSR524310:KSR524407 LCN524310:LCN524407 LMJ524310:LMJ524407 LWF524310:LWF524407 MGB524310:MGB524407 MPX524310:MPX524407 MZT524310:MZT524407 NJP524310:NJP524407 NTL524310:NTL524407 ODH524310:ODH524407 OND524310:OND524407 OWZ524310:OWZ524407 PGV524310:PGV524407 PQR524310:PQR524407 QAN524310:QAN524407 QKJ524310:QKJ524407 QUF524310:QUF524407 REB524310:REB524407 RNX524310:RNX524407 RXT524310:RXT524407 SHP524310:SHP524407 SRL524310:SRL524407 TBH524310:TBH524407 TLD524310:TLD524407 TUZ524310:TUZ524407 UEV524310:UEV524407 UOR524310:UOR524407 UYN524310:UYN524407 VIJ524310:VIJ524407 VSF524310:VSF524407 WCB524310:WCB524407 WLX524310:WLX524407 WVT524310:WVT524407 JH589846:JH589943 TD589846:TD589943 ACZ589846:ACZ589943 AMV589846:AMV589943 AWR589846:AWR589943 BGN589846:BGN589943 BQJ589846:BQJ589943 CAF589846:CAF589943 CKB589846:CKB589943 CTX589846:CTX589943 DDT589846:DDT589943 DNP589846:DNP589943 DXL589846:DXL589943 EHH589846:EHH589943 ERD589846:ERD589943 FAZ589846:FAZ589943 FKV589846:FKV589943 FUR589846:FUR589943 GEN589846:GEN589943 GOJ589846:GOJ589943 GYF589846:GYF589943 HIB589846:HIB589943 HRX589846:HRX589943 IBT589846:IBT589943 ILP589846:ILP589943 IVL589846:IVL589943 JFH589846:JFH589943 JPD589846:JPD589943 JYZ589846:JYZ589943 KIV589846:KIV589943 KSR589846:KSR589943 LCN589846:LCN589943 LMJ589846:LMJ589943 LWF589846:LWF589943 MGB589846:MGB589943 MPX589846:MPX589943 MZT589846:MZT589943 NJP589846:NJP589943 NTL589846:NTL589943 ODH589846:ODH589943 OND589846:OND589943 OWZ589846:OWZ589943 PGV589846:PGV589943 PQR589846:PQR589943 QAN589846:QAN589943 QKJ589846:QKJ589943 QUF589846:QUF589943 REB589846:REB589943 RNX589846:RNX589943 RXT589846:RXT589943 SHP589846:SHP589943 SRL589846:SRL589943 TBH589846:TBH589943 TLD589846:TLD589943 TUZ589846:TUZ589943 UEV589846:UEV589943 UOR589846:UOR589943 UYN589846:UYN589943 VIJ589846:VIJ589943 VSF589846:VSF589943 WCB589846:WCB589943 WLX589846:WLX589943 WVT589846:WVT589943 JH655382:JH655479 TD655382:TD655479 ACZ655382:ACZ655479 AMV655382:AMV655479 AWR655382:AWR655479 BGN655382:BGN655479 BQJ655382:BQJ655479 CAF655382:CAF655479 CKB655382:CKB655479 CTX655382:CTX655479 DDT655382:DDT655479 DNP655382:DNP655479 DXL655382:DXL655479 EHH655382:EHH655479 ERD655382:ERD655479 FAZ655382:FAZ655479 FKV655382:FKV655479 FUR655382:FUR655479 GEN655382:GEN655479 GOJ655382:GOJ655479 GYF655382:GYF655479 HIB655382:HIB655479 HRX655382:HRX655479 IBT655382:IBT655479 ILP655382:ILP655479 IVL655382:IVL655479 JFH655382:JFH655479 JPD655382:JPD655479 JYZ655382:JYZ655479 KIV655382:KIV655479 KSR655382:KSR655479 LCN655382:LCN655479 LMJ655382:LMJ655479 LWF655382:LWF655479 MGB655382:MGB655479 MPX655382:MPX655479 MZT655382:MZT655479 NJP655382:NJP655479 NTL655382:NTL655479 ODH655382:ODH655479 OND655382:OND655479 OWZ655382:OWZ655479 PGV655382:PGV655479 PQR655382:PQR655479 QAN655382:QAN655479 QKJ655382:QKJ655479 QUF655382:QUF655479 REB655382:REB655479 RNX655382:RNX655479 RXT655382:RXT655479 SHP655382:SHP655479 SRL655382:SRL655479 TBH655382:TBH655479 TLD655382:TLD655479 TUZ655382:TUZ655479 UEV655382:UEV655479 UOR655382:UOR655479 UYN655382:UYN655479 VIJ655382:VIJ655479 VSF655382:VSF655479 WCB655382:WCB655479 WLX655382:WLX655479 WVT655382:WVT655479 JH720918:JH721015 TD720918:TD721015 ACZ720918:ACZ721015 AMV720918:AMV721015 AWR720918:AWR721015 BGN720918:BGN721015 BQJ720918:BQJ721015 CAF720918:CAF721015 CKB720918:CKB721015 CTX720918:CTX721015 DDT720918:DDT721015 DNP720918:DNP721015 DXL720918:DXL721015 EHH720918:EHH721015 ERD720918:ERD721015 FAZ720918:FAZ721015 FKV720918:FKV721015 FUR720918:FUR721015 GEN720918:GEN721015 GOJ720918:GOJ721015 GYF720918:GYF721015 HIB720918:HIB721015 HRX720918:HRX721015 IBT720918:IBT721015 ILP720918:ILP721015 IVL720918:IVL721015 JFH720918:JFH721015 JPD720918:JPD721015 JYZ720918:JYZ721015 KIV720918:KIV721015 KSR720918:KSR721015 LCN720918:LCN721015 LMJ720918:LMJ721015 LWF720918:LWF721015 MGB720918:MGB721015 MPX720918:MPX721015 MZT720918:MZT721015 NJP720918:NJP721015 NTL720918:NTL721015 ODH720918:ODH721015 OND720918:OND721015 OWZ720918:OWZ721015 PGV720918:PGV721015 PQR720918:PQR721015 QAN720918:QAN721015 QKJ720918:QKJ721015 QUF720918:QUF721015 REB720918:REB721015 RNX720918:RNX721015 RXT720918:RXT721015 SHP720918:SHP721015 SRL720918:SRL721015 TBH720918:TBH721015 TLD720918:TLD721015 TUZ720918:TUZ721015 UEV720918:UEV721015 UOR720918:UOR721015 UYN720918:UYN721015 VIJ720918:VIJ721015 VSF720918:VSF721015 WCB720918:WCB721015 WLX720918:WLX721015 WVT720918:WVT721015 JH786454:JH786551 TD786454:TD786551 ACZ786454:ACZ786551 AMV786454:AMV786551 AWR786454:AWR786551 BGN786454:BGN786551 BQJ786454:BQJ786551 CAF786454:CAF786551 CKB786454:CKB786551 CTX786454:CTX786551 DDT786454:DDT786551 DNP786454:DNP786551 DXL786454:DXL786551 EHH786454:EHH786551 ERD786454:ERD786551 FAZ786454:FAZ786551 FKV786454:FKV786551 FUR786454:FUR786551 GEN786454:GEN786551 GOJ786454:GOJ786551 GYF786454:GYF786551 HIB786454:HIB786551 HRX786454:HRX786551 IBT786454:IBT786551 ILP786454:ILP786551 IVL786454:IVL786551 JFH786454:JFH786551 JPD786454:JPD786551 JYZ786454:JYZ786551 KIV786454:KIV786551 KSR786454:KSR786551 LCN786454:LCN786551 LMJ786454:LMJ786551 LWF786454:LWF786551 MGB786454:MGB786551 MPX786454:MPX786551 MZT786454:MZT786551 NJP786454:NJP786551 NTL786454:NTL786551 ODH786454:ODH786551 OND786454:OND786551 OWZ786454:OWZ786551 PGV786454:PGV786551 PQR786454:PQR786551 QAN786454:QAN786551 QKJ786454:QKJ786551 QUF786454:QUF786551 REB786454:REB786551 RNX786454:RNX786551 RXT786454:RXT786551 SHP786454:SHP786551 SRL786454:SRL786551 TBH786454:TBH786551 TLD786454:TLD786551 TUZ786454:TUZ786551 UEV786454:UEV786551 UOR786454:UOR786551 UYN786454:UYN786551 VIJ786454:VIJ786551 VSF786454:VSF786551 WCB786454:WCB786551 WLX786454:WLX786551 WVT786454:WVT786551 JH851990:JH852087 TD851990:TD852087 ACZ851990:ACZ852087 AMV851990:AMV852087 AWR851990:AWR852087 BGN851990:BGN852087 BQJ851990:BQJ852087 CAF851990:CAF852087 CKB851990:CKB852087 CTX851990:CTX852087 DDT851990:DDT852087 DNP851990:DNP852087 DXL851990:DXL852087 EHH851990:EHH852087 ERD851990:ERD852087 FAZ851990:FAZ852087 FKV851990:FKV852087 FUR851990:FUR852087 GEN851990:GEN852087 GOJ851990:GOJ852087 GYF851990:GYF852087 HIB851990:HIB852087 HRX851990:HRX852087 IBT851990:IBT852087 ILP851990:ILP852087 IVL851990:IVL852087 JFH851990:JFH852087 JPD851990:JPD852087 JYZ851990:JYZ852087 KIV851990:KIV852087 KSR851990:KSR852087 LCN851990:LCN852087 LMJ851990:LMJ852087 LWF851990:LWF852087 MGB851990:MGB852087 MPX851990:MPX852087 MZT851990:MZT852087 NJP851990:NJP852087 NTL851990:NTL852087 ODH851990:ODH852087 OND851990:OND852087 OWZ851990:OWZ852087 PGV851990:PGV852087 PQR851990:PQR852087 QAN851990:QAN852087 QKJ851990:QKJ852087 QUF851990:QUF852087 REB851990:REB852087 RNX851990:RNX852087 RXT851990:RXT852087 SHP851990:SHP852087 SRL851990:SRL852087 TBH851990:TBH852087 TLD851990:TLD852087 TUZ851990:TUZ852087 UEV851990:UEV852087 UOR851990:UOR852087 UYN851990:UYN852087 VIJ851990:VIJ852087 VSF851990:VSF852087 WCB851990:WCB852087 WLX851990:WLX852087 WVT851990:WVT852087 JH917526:JH917623 TD917526:TD917623 ACZ917526:ACZ917623 AMV917526:AMV917623 AWR917526:AWR917623 BGN917526:BGN917623 BQJ917526:BQJ917623 CAF917526:CAF917623 CKB917526:CKB917623 CTX917526:CTX917623 DDT917526:DDT917623 DNP917526:DNP917623 DXL917526:DXL917623 EHH917526:EHH917623 ERD917526:ERD917623 FAZ917526:FAZ917623 FKV917526:FKV917623 FUR917526:FUR917623 GEN917526:GEN917623 GOJ917526:GOJ917623 GYF917526:GYF917623 HIB917526:HIB917623 HRX917526:HRX917623 IBT917526:IBT917623 ILP917526:ILP917623 IVL917526:IVL917623 JFH917526:JFH917623 JPD917526:JPD917623 JYZ917526:JYZ917623 KIV917526:KIV917623 KSR917526:KSR917623 LCN917526:LCN917623 LMJ917526:LMJ917623 LWF917526:LWF917623 MGB917526:MGB917623 MPX917526:MPX917623 MZT917526:MZT917623 NJP917526:NJP917623 NTL917526:NTL917623 ODH917526:ODH917623 OND917526:OND917623 OWZ917526:OWZ917623 PGV917526:PGV917623 PQR917526:PQR917623 QAN917526:QAN917623 QKJ917526:QKJ917623 QUF917526:QUF917623 REB917526:REB917623 RNX917526:RNX917623 RXT917526:RXT917623 SHP917526:SHP917623 SRL917526:SRL917623 TBH917526:TBH917623 TLD917526:TLD917623 TUZ917526:TUZ917623 UEV917526:UEV917623 UOR917526:UOR917623 UYN917526:UYN917623 VIJ917526:VIJ917623 VSF917526:VSF917623 WCB917526:WCB917623 WLX917526:WLX917623 WVT917526:WVT917623 JH983062:JH983159 TD983062:TD983159 ACZ983062:ACZ983159 AMV983062:AMV983159 AWR983062:AWR983159 BGN983062:BGN983159 BQJ983062:BQJ983159 CAF983062:CAF983159 CKB983062:CKB983159 CTX983062:CTX983159 DDT983062:DDT983159 DNP983062:DNP983159 DXL983062:DXL983159 EHH983062:EHH983159 ERD983062:ERD983159 FAZ983062:FAZ983159 FKV983062:FKV983159 FUR983062:FUR983159 GEN983062:GEN983159 GOJ983062:GOJ983159 GYF983062:GYF983159 HIB983062:HIB983159 HRX983062:HRX983159 IBT983062:IBT983159 ILP983062:ILP983159 IVL983062:IVL983159 JFH983062:JFH983159 JPD983062:JPD983159 JYZ983062:JYZ983159 KIV983062:KIV983159 KSR983062:KSR983159 LCN983062:LCN983159 LMJ983062:LMJ983159 LWF983062:LWF983159 MGB983062:MGB983159 MPX983062:MPX983159 MZT983062:MZT983159 NJP983062:NJP983159 NTL983062:NTL983159 ODH983062:ODH983159 OND983062:OND983159 OWZ983062:OWZ983159 PGV983062:PGV983159 PQR983062:PQR983159 QAN983062:QAN983159 QKJ983062:QKJ983159 QUF983062:QUF983159 REB983062:REB983159 RNX983062:RNX983159 RXT983062:RXT983159 SHP983062:SHP983159 SRL983062:SRL983159 TBH983062:TBH983159 TLD983062:TLD983159 TUZ983062:TUZ983159 UEV983062:UEV983159 UOR983062:UOR983159 UYN983062:UYN983159 VIJ983062:VIJ983159 VSF983062:VSF983159 WCB983062:WCB983159 WLX983062:WLX983159 WVT983062:WVT983159 JH22:JH119 JJ22:JJ119 TF22:TF119 ADB22:ADB119 AMX22:AMX119 AWT22:AWT119 BGP22:BGP119 BQL22:BQL119 CAH22:CAH119 CKD22:CKD119 CTZ22:CTZ119 DDV22:DDV119 DNR22:DNR119 DXN22:DXN119 EHJ22:EHJ119 ERF22:ERF119 FBB22:FBB119 FKX22:FKX119 FUT22:FUT119 GEP22:GEP119 GOL22:GOL119 GYH22:GYH119 HID22:HID119 HRZ22:HRZ119 IBV22:IBV119 ILR22:ILR119 IVN22:IVN119 JFJ22:JFJ119 JPF22:JPF119 JZB22:JZB119 KIX22:KIX119 KST22:KST119 LCP22:LCP119 LML22:LML119 LWH22:LWH119 MGD22:MGD119 MPZ22:MPZ119 MZV22:MZV119 NJR22:NJR119 NTN22:NTN119 ODJ22:ODJ119 ONF22:ONF119 OXB22:OXB119 PGX22:PGX119 PQT22:PQT119 QAP22:QAP119 QKL22:QKL119 QUH22:QUH119 RED22:RED119 RNZ22:RNZ119 RXV22:RXV119 SHR22:SHR119 SRN22:SRN119 TBJ22:TBJ119 TLF22:TLF119 TVB22:TVB119 UEX22:UEX119 UOT22:UOT119 UYP22:UYP119 VIL22:VIL119 VSH22:VSH119 WCD22:WCD119 WLZ22:WLZ119 WVV22:WVV119 I65558:I65655 JJ65558:JJ65655 TF65558:TF65655 ADB65558:ADB65655 AMX65558:AMX65655 AWT65558:AWT65655 BGP65558:BGP65655 BQL65558:BQL65655 CAH65558:CAH65655 CKD65558:CKD65655 CTZ65558:CTZ65655 DDV65558:DDV65655 DNR65558:DNR65655 DXN65558:DXN65655 EHJ65558:EHJ65655 ERF65558:ERF65655 FBB65558:FBB65655 FKX65558:FKX65655 FUT65558:FUT65655 GEP65558:GEP65655 GOL65558:GOL65655 GYH65558:GYH65655 HID65558:HID65655 HRZ65558:HRZ65655 IBV65558:IBV65655 ILR65558:ILR65655 IVN65558:IVN65655 JFJ65558:JFJ65655 JPF65558:JPF65655 JZB65558:JZB65655 KIX65558:KIX65655 KST65558:KST65655 LCP65558:LCP65655 LML65558:LML65655 LWH65558:LWH65655 MGD65558:MGD65655 MPZ65558:MPZ65655 MZV65558:MZV65655 NJR65558:NJR65655 NTN65558:NTN65655 ODJ65558:ODJ65655 ONF65558:ONF65655 OXB65558:OXB65655 PGX65558:PGX65655 PQT65558:PQT65655 QAP65558:QAP65655 QKL65558:QKL65655 QUH65558:QUH65655 RED65558:RED65655 RNZ65558:RNZ65655 RXV65558:RXV65655 SHR65558:SHR65655 SRN65558:SRN65655 TBJ65558:TBJ65655 TLF65558:TLF65655 TVB65558:TVB65655 UEX65558:UEX65655 UOT65558:UOT65655 UYP65558:UYP65655 VIL65558:VIL65655 VSH65558:VSH65655 WCD65558:WCD65655 WLZ65558:WLZ65655 WVV65558:WVV65655 I131094:I131191 JJ131094:JJ131191 TF131094:TF131191 ADB131094:ADB131191 AMX131094:AMX131191 AWT131094:AWT131191 BGP131094:BGP131191 BQL131094:BQL131191 CAH131094:CAH131191 CKD131094:CKD131191 CTZ131094:CTZ131191 DDV131094:DDV131191 DNR131094:DNR131191 DXN131094:DXN131191 EHJ131094:EHJ131191 ERF131094:ERF131191 FBB131094:FBB131191 FKX131094:FKX131191 FUT131094:FUT131191 GEP131094:GEP131191 GOL131094:GOL131191 GYH131094:GYH131191 HID131094:HID131191 HRZ131094:HRZ131191 IBV131094:IBV131191 ILR131094:ILR131191 IVN131094:IVN131191 JFJ131094:JFJ131191 JPF131094:JPF131191 JZB131094:JZB131191 KIX131094:KIX131191 KST131094:KST131191 LCP131094:LCP131191 LML131094:LML131191 LWH131094:LWH131191 MGD131094:MGD131191 MPZ131094:MPZ131191 MZV131094:MZV131191 NJR131094:NJR131191 NTN131094:NTN131191 ODJ131094:ODJ131191 ONF131094:ONF131191 OXB131094:OXB131191 PGX131094:PGX131191 PQT131094:PQT131191 QAP131094:QAP131191 QKL131094:QKL131191 QUH131094:QUH131191 RED131094:RED131191 RNZ131094:RNZ131191 RXV131094:RXV131191 SHR131094:SHR131191 SRN131094:SRN131191 TBJ131094:TBJ131191 TLF131094:TLF131191 TVB131094:TVB131191 UEX131094:UEX131191 UOT131094:UOT131191 UYP131094:UYP131191 VIL131094:VIL131191 VSH131094:VSH131191 WCD131094:WCD131191 WLZ131094:WLZ131191 WVV131094:WVV131191 I196630:I196727 JJ196630:JJ196727 TF196630:TF196727 ADB196630:ADB196727 AMX196630:AMX196727 AWT196630:AWT196727 BGP196630:BGP196727 BQL196630:BQL196727 CAH196630:CAH196727 CKD196630:CKD196727 CTZ196630:CTZ196727 DDV196630:DDV196727 DNR196630:DNR196727 DXN196630:DXN196727 EHJ196630:EHJ196727 ERF196630:ERF196727 FBB196630:FBB196727 FKX196630:FKX196727 FUT196630:FUT196727 GEP196630:GEP196727 GOL196630:GOL196727 GYH196630:GYH196727 HID196630:HID196727 HRZ196630:HRZ196727 IBV196630:IBV196727 ILR196630:ILR196727 IVN196630:IVN196727 JFJ196630:JFJ196727 JPF196630:JPF196727 JZB196630:JZB196727 KIX196630:KIX196727 KST196630:KST196727 LCP196630:LCP196727 LML196630:LML196727 LWH196630:LWH196727 MGD196630:MGD196727 MPZ196630:MPZ196727 MZV196630:MZV196727 NJR196630:NJR196727 NTN196630:NTN196727 ODJ196630:ODJ196727 ONF196630:ONF196727 OXB196630:OXB196727 PGX196630:PGX196727 PQT196630:PQT196727 QAP196630:QAP196727 QKL196630:QKL196727 QUH196630:QUH196727 RED196630:RED196727 RNZ196630:RNZ196727 RXV196630:RXV196727 SHR196630:SHR196727 SRN196630:SRN196727 TBJ196630:TBJ196727 TLF196630:TLF196727 TVB196630:TVB196727 UEX196630:UEX196727 UOT196630:UOT196727 UYP196630:UYP196727 VIL196630:VIL196727 VSH196630:VSH196727 WCD196630:WCD196727 WLZ196630:WLZ196727 WVV196630:WVV196727 I262166:I262263 JJ262166:JJ262263 TF262166:TF262263 ADB262166:ADB262263 AMX262166:AMX262263 AWT262166:AWT262263 BGP262166:BGP262263 BQL262166:BQL262263 CAH262166:CAH262263 CKD262166:CKD262263 CTZ262166:CTZ262263 DDV262166:DDV262263 DNR262166:DNR262263 DXN262166:DXN262263 EHJ262166:EHJ262263 ERF262166:ERF262263 FBB262166:FBB262263 FKX262166:FKX262263 FUT262166:FUT262263 GEP262166:GEP262263 GOL262166:GOL262263 GYH262166:GYH262263 HID262166:HID262263 HRZ262166:HRZ262263 IBV262166:IBV262263 ILR262166:ILR262263 IVN262166:IVN262263 JFJ262166:JFJ262263 JPF262166:JPF262263 JZB262166:JZB262263 KIX262166:KIX262263 KST262166:KST262263 LCP262166:LCP262263 LML262166:LML262263 LWH262166:LWH262263 MGD262166:MGD262263 MPZ262166:MPZ262263 MZV262166:MZV262263 NJR262166:NJR262263 NTN262166:NTN262263 ODJ262166:ODJ262263 ONF262166:ONF262263 OXB262166:OXB262263 PGX262166:PGX262263 PQT262166:PQT262263 QAP262166:QAP262263 QKL262166:QKL262263 QUH262166:QUH262263 RED262166:RED262263 RNZ262166:RNZ262263 RXV262166:RXV262263 SHR262166:SHR262263 SRN262166:SRN262263 TBJ262166:TBJ262263 TLF262166:TLF262263 TVB262166:TVB262263 UEX262166:UEX262263 UOT262166:UOT262263 UYP262166:UYP262263 VIL262166:VIL262263 VSH262166:VSH262263 WCD262166:WCD262263 WLZ262166:WLZ262263 WVV262166:WVV262263 I327702:I327799 JJ327702:JJ327799 TF327702:TF327799 ADB327702:ADB327799 AMX327702:AMX327799 AWT327702:AWT327799 BGP327702:BGP327799 BQL327702:BQL327799 CAH327702:CAH327799 CKD327702:CKD327799 CTZ327702:CTZ327799 DDV327702:DDV327799 DNR327702:DNR327799 DXN327702:DXN327799 EHJ327702:EHJ327799 ERF327702:ERF327799 FBB327702:FBB327799 FKX327702:FKX327799 FUT327702:FUT327799 GEP327702:GEP327799 GOL327702:GOL327799 GYH327702:GYH327799 HID327702:HID327799 HRZ327702:HRZ327799 IBV327702:IBV327799 ILR327702:ILR327799 IVN327702:IVN327799 JFJ327702:JFJ327799 JPF327702:JPF327799 JZB327702:JZB327799 KIX327702:KIX327799 KST327702:KST327799 LCP327702:LCP327799 LML327702:LML327799 LWH327702:LWH327799 MGD327702:MGD327799 MPZ327702:MPZ327799 MZV327702:MZV327799 NJR327702:NJR327799 NTN327702:NTN327799 ODJ327702:ODJ327799 ONF327702:ONF327799 OXB327702:OXB327799 PGX327702:PGX327799 PQT327702:PQT327799 QAP327702:QAP327799 QKL327702:QKL327799 QUH327702:QUH327799 RED327702:RED327799 RNZ327702:RNZ327799 RXV327702:RXV327799 SHR327702:SHR327799 SRN327702:SRN327799 TBJ327702:TBJ327799 TLF327702:TLF327799 TVB327702:TVB327799 UEX327702:UEX327799 UOT327702:UOT327799 UYP327702:UYP327799 VIL327702:VIL327799 VSH327702:VSH327799 WCD327702:WCD327799 WLZ327702:WLZ327799 WVV327702:WVV327799 I393238:I393335 JJ393238:JJ393335 TF393238:TF393335 ADB393238:ADB393335 AMX393238:AMX393335 AWT393238:AWT393335 BGP393238:BGP393335 BQL393238:BQL393335 CAH393238:CAH393335 CKD393238:CKD393335 CTZ393238:CTZ393335 DDV393238:DDV393335 DNR393238:DNR393335 DXN393238:DXN393335 EHJ393238:EHJ393335 ERF393238:ERF393335 FBB393238:FBB393335 FKX393238:FKX393335 FUT393238:FUT393335 GEP393238:GEP393335 GOL393238:GOL393335 GYH393238:GYH393335 HID393238:HID393335 HRZ393238:HRZ393335 IBV393238:IBV393335 ILR393238:ILR393335 IVN393238:IVN393335 JFJ393238:JFJ393335 JPF393238:JPF393335 JZB393238:JZB393335 KIX393238:KIX393335 KST393238:KST393335 LCP393238:LCP393335 LML393238:LML393335 LWH393238:LWH393335 MGD393238:MGD393335 MPZ393238:MPZ393335 MZV393238:MZV393335 NJR393238:NJR393335 NTN393238:NTN393335 ODJ393238:ODJ393335 ONF393238:ONF393335 OXB393238:OXB393335 PGX393238:PGX393335 PQT393238:PQT393335 QAP393238:QAP393335 QKL393238:QKL393335 QUH393238:QUH393335 RED393238:RED393335 RNZ393238:RNZ393335 RXV393238:RXV393335 SHR393238:SHR393335 SRN393238:SRN393335 TBJ393238:TBJ393335 TLF393238:TLF393335 TVB393238:TVB393335 UEX393238:UEX393335 UOT393238:UOT393335 UYP393238:UYP393335 VIL393238:VIL393335 VSH393238:VSH393335 WCD393238:WCD393335 WLZ393238:WLZ393335 WVV393238:WVV393335 I458774:I458871 JJ458774:JJ458871 TF458774:TF458871 ADB458774:ADB458871 AMX458774:AMX458871 AWT458774:AWT458871 BGP458774:BGP458871 BQL458774:BQL458871 CAH458774:CAH458871 CKD458774:CKD458871 CTZ458774:CTZ458871 DDV458774:DDV458871 DNR458774:DNR458871 DXN458774:DXN458871 EHJ458774:EHJ458871 ERF458774:ERF458871 FBB458774:FBB458871 FKX458774:FKX458871 FUT458774:FUT458871 GEP458774:GEP458871 GOL458774:GOL458871 GYH458774:GYH458871 HID458774:HID458871 HRZ458774:HRZ458871 IBV458774:IBV458871 ILR458774:ILR458871 IVN458774:IVN458871 JFJ458774:JFJ458871 JPF458774:JPF458871 JZB458774:JZB458871 KIX458774:KIX458871 KST458774:KST458871 LCP458774:LCP458871 LML458774:LML458871 LWH458774:LWH458871 MGD458774:MGD458871 MPZ458774:MPZ458871 MZV458774:MZV458871 NJR458774:NJR458871 NTN458774:NTN458871 ODJ458774:ODJ458871 ONF458774:ONF458871 OXB458774:OXB458871 PGX458774:PGX458871 PQT458774:PQT458871 QAP458774:QAP458871 QKL458774:QKL458871 QUH458774:QUH458871 RED458774:RED458871 RNZ458774:RNZ458871 RXV458774:RXV458871 SHR458774:SHR458871 SRN458774:SRN458871 TBJ458774:TBJ458871 TLF458774:TLF458871 TVB458774:TVB458871 UEX458774:UEX458871 UOT458774:UOT458871 UYP458774:UYP458871 VIL458774:VIL458871 VSH458774:VSH458871 WCD458774:WCD458871 WLZ458774:WLZ458871 WVV458774:WVV458871 I524310:I524407 JJ524310:JJ524407 TF524310:TF524407 ADB524310:ADB524407 AMX524310:AMX524407 AWT524310:AWT524407 BGP524310:BGP524407 BQL524310:BQL524407 CAH524310:CAH524407 CKD524310:CKD524407 CTZ524310:CTZ524407 DDV524310:DDV524407 DNR524310:DNR524407 DXN524310:DXN524407 EHJ524310:EHJ524407 ERF524310:ERF524407 FBB524310:FBB524407 FKX524310:FKX524407 FUT524310:FUT524407 GEP524310:GEP524407 GOL524310:GOL524407 GYH524310:GYH524407 HID524310:HID524407 HRZ524310:HRZ524407 IBV524310:IBV524407 ILR524310:ILR524407 IVN524310:IVN524407 JFJ524310:JFJ524407 JPF524310:JPF524407 JZB524310:JZB524407 KIX524310:KIX524407 KST524310:KST524407 LCP524310:LCP524407 LML524310:LML524407 LWH524310:LWH524407 MGD524310:MGD524407 MPZ524310:MPZ524407 MZV524310:MZV524407 NJR524310:NJR524407 NTN524310:NTN524407 ODJ524310:ODJ524407 ONF524310:ONF524407 OXB524310:OXB524407 PGX524310:PGX524407 PQT524310:PQT524407 QAP524310:QAP524407 QKL524310:QKL524407 QUH524310:QUH524407 RED524310:RED524407 RNZ524310:RNZ524407 RXV524310:RXV524407 SHR524310:SHR524407 SRN524310:SRN524407 TBJ524310:TBJ524407 TLF524310:TLF524407 TVB524310:TVB524407 UEX524310:UEX524407 UOT524310:UOT524407 UYP524310:UYP524407 VIL524310:VIL524407 VSH524310:VSH524407 WCD524310:WCD524407 WLZ524310:WLZ524407 WVV524310:WVV524407 I589846:I589943 JJ589846:JJ589943 TF589846:TF589943 ADB589846:ADB589943 AMX589846:AMX589943 AWT589846:AWT589943 BGP589846:BGP589943 BQL589846:BQL589943 CAH589846:CAH589943 CKD589846:CKD589943 CTZ589846:CTZ589943 DDV589846:DDV589943 DNR589846:DNR589943 DXN589846:DXN589943 EHJ589846:EHJ589943 ERF589846:ERF589943 FBB589846:FBB589943 FKX589846:FKX589943 FUT589846:FUT589943 GEP589846:GEP589943 GOL589846:GOL589943 GYH589846:GYH589943 HID589846:HID589943 HRZ589846:HRZ589943 IBV589846:IBV589943 ILR589846:ILR589943 IVN589846:IVN589943 JFJ589846:JFJ589943 JPF589846:JPF589943 JZB589846:JZB589943 KIX589846:KIX589943 KST589846:KST589943 LCP589846:LCP589943 LML589846:LML589943 LWH589846:LWH589943 MGD589846:MGD589943 MPZ589846:MPZ589943 MZV589846:MZV589943 NJR589846:NJR589943 NTN589846:NTN589943 ODJ589846:ODJ589943 ONF589846:ONF589943 OXB589846:OXB589943 PGX589846:PGX589943 PQT589846:PQT589943 QAP589846:QAP589943 QKL589846:QKL589943 QUH589846:QUH589943 RED589846:RED589943 RNZ589846:RNZ589943 RXV589846:RXV589943 SHR589846:SHR589943 SRN589846:SRN589943 TBJ589846:TBJ589943 TLF589846:TLF589943 TVB589846:TVB589943 UEX589846:UEX589943 UOT589846:UOT589943 UYP589846:UYP589943 VIL589846:VIL589943 VSH589846:VSH589943 WCD589846:WCD589943 WLZ589846:WLZ589943 WVV589846:WVV589943 I655382:I655479 JJ655382:JJ655479 TF655382:TF655479 ADB655382:ADB655479 AMX655382:AMX655479 AWT655382:AWT655479 BGP655382:BGP655479 BQL655382:BQL655479 CAH655382:CAH655479 CKD655382:CKD655479 CTZ655382:CTZ655479 DDV655382:DDV655479 DNR655382:DNR655479 DXN655382:DXN655479 EHJ655382:EHJ655479 ERF655382:ERF655479 FBB655382:FBB655479 FKX655382:FKX655479 FUT655382:FUT655479 GEP655382:GEP655479 GOL655382:GOL655479 GYH655382:GYH655479 HID655382:HID655479 HRZ655382:HRZ655479 IBV655382:IBV655479 ILR655382:ILR655479 IVN655382:IVN655479 JFJ655382:JFJ655479 JPF655382:JPF655479 JZB655382:JZB655479 KIX655382:KIX655479 KST655382:KST655479 LCP655382:LCP655479 LML655382:LML655479 LWH655382:LWH655479 MGD655382:MGD655479 MPZ655382:MPZ655479 MZV655382:MZV655479 NJR655382:NJR655479 NTN655382:NTN655479 ODJ655382:ODJ655479 ONF655382:ONF655479 OXB655382:OXB655479 PGX655382:PGX655479 PQT655382:PQT655479 QAP655382:QAP655479 QKL655382:QKL655479 QUH655382:QUH655479 RED655382:RED655479 RNZ655382:RNZ655479 RXV655382:RXV655479 SHR655382:SHR655479 SRN655382:SRN655479 TBJ655382:TBJ655479 TLF655382:TLF655479 TVB655382:TVB655479 UEX655382:UEX655479 UOT655382:UOT655479 UYP655382:UYP655479 VIL655382:VIL655479 VSH655382:VSH655479 WCD655382:WCD655479 WLZ655382:WLZ655479 WVV655382:WVV655479 I720918:I721015 JJ720918:JJ721015 TF720918:TF721015 ADB720918:ADB721015 AMX720918:AMX721015 AWT720918:AWT721015 BGP720918:BGP721015 BQL720918:BQL721015 CAH720918:CAH721015 CKD720918:CKD721015 CTZ720918:CTZ721015 DDV720918:DDV721015 DNR720918:DNR721015 DXN720918:DXN721015 EHJ720918:EHJ721015 ERF720918:ERF721015 FBB720918:FBB721015 FKX720918:FKX721015 FUT720918:FUT721015 GEP720918:GEP721015 GOL720918:GOL721015 GYH720918:GYH721015 HID720918:HID721015 HRZ720918:HRZ721015 IBV720918:IBV721015 ILR720918:ILR721015 IVN720918:IVN721015 JFJ720918:JFJ721015 JPF720918:JPF721015 JZB720918:JZB721015 KIX720918:KIX721015 KST720918:KST721015 LCP720918:LCP721015 LML720918:LML721015 LWH720918:LWH721015 MGD720918:MGD721015 MPZ720918:MPZ721015 MZV720918:MZV721015 NJR720918:NJR721015 NTN720918:NTN721015 ODJ720918:ODJ721015 ONF720918:ONF721015 OXB720918:OXB721015 PGX720918:PGX721015 PQT720918:PQT721015 QAP720918:QAP721015 QKL720918:QKL721015 QUH720918:QUH721015 RED720918:RED721015 RNZ720918:RNZ721015 RXV720918:RXV721015 SHR720918:SHR721015 SRN720918:SRN721015 TBJ720918:TBJ721015 TLF720918:TLF721015 TVB720918:TVB721015 UEX720918:UEX721015 UOT720918:UOT721015 UYP720918:UYP721015 VIL720918:VIL721015 VSH720918:VSH721015 WCD720918:WCD721015 WLZ720918:WLZ721015 WVV720918:WVV721015 I786454:I786551 JJ786454:JJ786551 TF786454:TF786551 ADB786454:ADB786551 AMX786454:AMX786551 AWT786454:AWT786551 BGP786454:BGP786551 BQL786454:BQL786551 CAH786454:CAH786551 CKD786454:CKD786551 CTZ786454:CTZ786551 DDV786454:DDV786551 DNR786454:DNR786551 DXN786454:DXN786551 EHJ786454:EHJ786551 ERF786454:ERF786551 FBB786454:FBB786551 FKX786454:FKX786551 FUT786454:FUT786551 GEP786454:GEP786551 GOL786454:GOL786551 GYH786454:GYH786551 HID786454:HID786551 HRZ786454:HRZ786551 IBV786454:IBV786551 ILR786454:ILR786551 IVN786454:IVN786551 JFJ786454:JFJ786551 JPF786454:JPF786551 JZB786454:JZB786551 KIX786454:KIX786551 KST786454:KST786551 LCP786454:LCP786551 LML786454:LML786551 LWH786454:LWH786551 MGD786454:MGD786551 MPZ786454:MPZ786551 MZV786454:MZV786551 NJR786454:NJR786551 NTN786454:NTN786551 ODJ786454:ODJ786551 ONF786454:ONF786551 OXB786454:OXB786551 PGX786454:PGX786551 PQT786454:PQT786551 QAP786454:QAP786551 QKL786454:QKL786551 QUH786454:QUH786551 RED786454:RED786551 RNZ786454:RNZ786551 RXV786454:RXV786551 SHR786454:SHR786551 SRN786454:SRN786551 TBJ786454:TBJ786551 TLF786454:TLF786551 TVB786454:TVB786551 UEX786454:UEX786551 UOT786454:UOT786551 UYP786454:UYP786551 VIL786454:VIL786551 VSH786454:VSH786551 WCD786454:WCD786551 WLZ786454:WLZ786551 WVV786454:WVV786551 I851990:I852087 JJ851990:JJ852087 TF851990:TF852087 ADB851990:ADB852087 AMX851990:AMX852087 AWT851990:AWT852087 BGP851990:BGP852087 BQL851990:BQL852087 CAH851990:CAH852087 CKD851990:CKD852087 CTZ851990:CTZ852087 DDV851990:DDV852087 DNR851990:DNR852087 DXN851990:DXN852087 EHJ851990:EHJ852087 ERF851990:ERF852087 FBB851990:FBB852087 FKX851990:FKX852087 FUT851990:FUT852087 GEP851990:GEP852087 GOL851990:GOL852087 GYH851990:GYH852087 HID851990:HID852087 HRZ851990:HRZ852087 IBV851990:IBV852087 ILR851990:ILR852087 IVN851990:IVN852087 JFJ851990:JFJ852087 JPF851990:JPF852087 JZB851990:JZB852087 KIX851990:KIX852087 KST851990:KST852087 LCP851990:LCP852087 LML851990:LML852087 LWH851990:LWH852087 MGD851990:MGD852087 MPZ851990:MPZ852087 MZV851990:MZV852087 NJR851990:NJR852087 NTN851990:NTN852087 ODJ851990:ODJ852087 ONF851990:ONF852087 OXB851990:OXB852087 PGX851990:PGX852087 PQT851990:PQT852087 QAP851990:QAP852087 QKL851990:QKL852087 QUH851990:QUH852087 RED851990:RED852087 RNZ851990:RNZ852087 RXV851990:RXV852087 SHR851990:SHR852087 SRN851990:SRN852087 TBJ851990:TBJ852087 TLF851990:TLF852087 TVB851990:TVB852087 UEX851990:UEX852087 UOT851990:UOT852087 UYP851990:UYP852087 VIL851990:VIL852087 VSH851990:VSH852087 WCD851990:WCD852087 WLZ851990:WLZ852087 WVV851990:WVV852087 I917526:I917623 JJ917526:JJ917623 TF917526:TF917623 ADB917526:ADB917623 AMX917526:AMX917623 AWT917526:AWT917623 BGP917526:BGP917623 BQL917526:BQL917623 CAH917526:CAH917623 CKD917526:CKD917623 CTZ917526:CTZ917623 DDV917526:DDV917623 DNR917526:DNR917623 DXN917526:DXN917623 EHJ917526:EHJ917623 ERF917526:ERF917623 FBB917526:FBB917623 FKX917526:FKX917623 FUT917526:FUT917623 GEP917526:GEP917623 GOL917526:GOL917623 GYH917526:GYH917623 HID917526:HID917623 HRZ917526:HRZ917623 IBV917526:IBV917623 ILR917526:ILR917623 IVN917526:IVN917623 JFJ917526:JFJ917623 JPF917526:JPF917623 JZB917526:JZB917623 KIX917526:KIX917623 KST917526:KST917623 LCP917526:LCP917623 LML917526:LML917623 LWH917526:LWH917623 MGD917526:MGD917623 MPZ917526:MPZ917623 MZV917526:MZV917623 NJR917526:NJR917623 NTN917526:NTN917623 ODJ917526:ODJ917623 ONF917526:ONF917623 OXB917526:OXB917623 PGX917526:PGX917623 PQT917526:PQT917623 QAP917526:QAP917623 QKL917526:QKL917623 QUH917526:QUH917623 RED917526:RED917623 RNZ917526:RNZ917623 RXV917526:RXV917623 SHR917526:SHR917623 SRN917526:SRN917623 TBJ917526:TBJ917623 TLF917526:TLF917623 TVB917526:TVB917623 UEX917526:UEX917623 UOT917526:UOT917623 UYP917526:UYP917623 VIL917526:VIL917623 VSH917526:VSH917623 WCD917526:WCD917623 WLZ917526:WLZ917623 WVV917526:WVV917623 I983062:I983159 JJ983062:JJ983159 TF983062:TF983159 ADB983062:ADB983159 AMX983062:AMX983159 AWT983062:AWT983159 BGP983062:BGP983159 BQL983062:BQL983159 CAH983062:CAH983159 CKD983062:CKD983159 CTZ983062:CTZ983159 DDV983062:DDV983159 DNR983062:DNR983159 DXN983062:DXN983159 EHJ983062:EHJ983159 ERF983062:ERF983159 FBB983062:FBB983159 FKX983062:FKX983159 FUT983062:FUT983159 GEP983062:GEP983159 GOL983062:GOL983159 GYH983062:GYH983159 HID983062:HID983159 HRZ983062:HRZ983159 IBV983062:IBV983159 ILR983062:ILR983159 IVN983062:IVN983159 JFJ983062:JFJ983159 JPF983062:JPF983159 JZB983062:JZB983159 KIX983062:KIX983159 KST983062:KST983159 LCP983062:LCP983159 LML983062:LML983159 LWH983062:LWH983159 MGD983062:MGD983159 MPZ983062:MPZ983159 MZV983062:MZV983159 NJR983062:NJR983159 NTN983062:NTN983159 ODJ983062:ODJ983159 ONF983062:ONF983159 OXB983062:OXB983159 PGX983062:PGX983159 PQT983062:PQT983159 QAP983062:QAP983159 QKL983062:QKL983159 QUH983062:QUH983159 RED983062:RED983159 RNZ983062:RNZ983159 RXV983062:RXV983159 SHR983062:SHR983159 SRN983062:SRN983159 TBJ983062:TBJ983159 TLF983062:TLF983159 TVB983062:TVB983159 UEX983062:UEX983159 UOT983062:UOT983159 UYP983062:UYP983159 VIL983062:VIL983159 VSH983062:VSH983159 WCD983062:WCD983159">
      <formula1>$G$129:$G$130</formula1>
    </dataValidation>
    <dataValidation type="list" errorStyle="information" allowBlank="1" showInputMessage="1" showErrorMessage="1" errorTitle="Incentives to Redeem - Type" error="Please input: _x000a__x000a_Step-Up_x000a_Other" sqref="JD21:JD119 SZ21:SZ119 ACV21:ACV119 AMR21:AMR119 AWN21:AWN119 BGJ21:BGJ119 BQF21:BQF119 CAB21:CAB119 CJX21:CJX119 CTT21:CTT119 DDP21:DDP119 DNL21:DNL119 DXH21:DXH119 EHD21:EHD119 EQZ21:EQZ119 FAV21:FAV119 FKR21:FKR119 FUN21:FUN119 GEJ21:GEJ119 GOF21:GOF119 GYB21:GYB119 HHX21:HHX119 HRT21:HRT119 IBP21:IBP119 ILL21:ILL119 IVH21:IVH119 JFD21:JFD119 JOZ21:JOZ119 JYV21:JYV119 KIR21:KIR119 KSN21:KSN119 LCJ21:LCJ119 LMF21:LMF119 LWB21:LWB119 MFX21:MFX119 MPT21:MPT119 MZP21:MZP119 NJL21:NJL119 NTH21:NTH119 ODD21:ODD119 OMZ21:OMZ119 OWV21:OWV119 PGR21:PGR119 PQN21:PQN119 QAJ21:QAJ119 QKF21:QKF119 QUB21:QUB119 RDX21:RDX119 RNT21:RNT119 RXP21:RXP119 SHL21:SHL119 SRH21:SRH119 TBD21:TBD119 TKZ21:TKZ119 TUV21:TUV119 UER21:UER119 UON21:UON119 UYJ21:UYJ119 VIF21:VIF119 VSB21:VSB119 WBX21:WBX119 WLT21:WLT119 WVP21:WVP119 JD65557:JD65655 SZ65557:SZ65655 ACV65557:ACV65655 AMR65557:AMR65655 AWN65557:AWN65655 BGJ65557:BGJ65655 BQF65557:BQF65655 CAB65557:CAB65655 CJX65557:CJX65655 CTT65557:CTT65655 DDP65557:DDP65655 DNL65557:DNL65655 DXH65557:DXH65655 EHD65557:EHD65655 EQZ65557:EQZ65655 FAV65557:FAV65655 FKR65557:FKR65655 FUN65557:FUN65655 GEJ65557:GEJ65655 GOF65557:GOF65655 GYB65557:GYB65655 HHX65557:HHX65655 HRT65557:HRT65655 IBP65557:IBP65655 ILL65557:ILL65655 IVH65557:IVH65655 JFD65557:JFD65655 JOZ65557:JOZ65655 JYV65557:JYV65655 KIR65557:KIR65655 KSN65557:KSN65655 LCJ65557:LCJ65655 LMF65557:LMF65655 LWB65557:LWB65655 MFX65557:MFX65655 MPT65557:MPT65655 MZP65557:MZP65655 NJL65557:NJL65655 NTH65557:NTH65655 ODD65557:ODD65655 OMZ65557:OMZ65655 OWV65557:OWV65655 PGR65557:PGR65655 PQN65557:PQN65655 QAJ65557:QAJ65655 QKF65557:QKF65655 QUB65557:QUB65655 RDX65557:RDX65655 RNT65557:RNT65655 RXP65557:RXP65655 SHL65557:SHL65655 SRH65557:SRH65655 TBD65557:TBD65655 TKZ65557:TKZ65655 TUV65557:TUV65655 UER65557:UER65655 UON65557:UON65655 UYJ65557:UYJ65655 VIF65557:VIF65655 VSB65557:VSB65655 WBX65557:WBX65655 WLT65557:WLT65655 WVP65557:WVP65655 JD131093:JD131191 SZ131093:SZ131191 ACV131093:ACV131191 AMR131093:AMR131191 AWN131093:AWN131191 BGJ131093:BGJ131191 BQF131093:BQF131191 CAB131093:CAB131191 CJX131093:CJX131191 CTT131093:CTT131191 DDP131093:DDP131191 DNL131093:DNL131191 DXH131093:DXH131191 EHD131093:EHD131191 EQZ131093:EQZ131191 FAV131093:FAV131191 FKR131093:FKR131191 FUN131093:FUN131191 GEJ131093:GEJ131191 GOF131093:GOF131191 GYB131093:GYB131191 HHX131093:HHX131191 HRT131093:HRT131191 IBP131093:IBP131191 ILL131093:ILL131191 IVH131093:IVH131191 JFD131093:JFD131191 JOZ131093:JOZ131191 JYV131093:JYV131191 KIR131093:KIR131191 KSN131093:KSN131191 LCJ131093:LCJ131191 LMF131093:LMF131191 LWB131093:LWB131191 MFX131093:MFX131191 MPT131093:MPT131191 MZP131093:MZP131191 NJL131093:NJL131191 NTH131093:NTH131191 ODD131093:ODD131191 OMZ131093:OMZ131191 OWV131093:OWV131191 PGR131093:PGR131191 PQN131093:PQN131191 QAJ131093:QAJ131191 QKF131093:QKF131191 QUB131093:QUB131191 RDX131093:RDX131191 RNT131093:RNT131191 RXP131093:RXP131191 SHL131093:SHL131191 SRH131093:SRH131191 TBD131093:TBD131191 TKZ131093:TKZ131191 TUV131093:TUV131191 UER131093:UER131191 UON131093:UON131191 UYJ131093:UYJ131191 VIF131093:VIF131191 VSB131093:VSB131191 WBX131093:WBX131191 WLT131093:WLT131191 WVP131093:WVP131191 JD196629:JD196727 SZ196629:SZ196727 ACV196629:ACV196727 AMR196629:AMR196727 AWN196629:AWN196727 BGJ196629:BGJ196727 BQF196629:BQF196727 CAB196629:CAB196727 CJX196629:CJX196727 CTT196629:CTT196727 DDP196629:DDP196727 DNL196629:DNL196727 DXH196629:DXH196727 EHD196629:EHD196727 EQZ196629:EQZ196727 FAV196629:FAV196727 FKR196629:FKR196727 FUN196629:FUN196727 GEJ196629:GEJ196727 GOF196629:GOF196727 GYB196629:GYB196727 HHX196629:HHX196727 HRT196629:HRT196727 IBP196629:IBP196727 ILL196629:ILL196727 IVH196629:IVH196727 JFD196629:JFD196727 JOZ196629:JOZ196727 JYV196629:JYV196727 KIR196629:KIR196727 KSN196629:KSN196727 LCJ196629:LCJ196727 LMF196629:LMF196727 LWB196629:LWB196727 MFX196629:MFX196727 MPT196629:MPT196727 MZP196629:MZP196727 NJL196629:NJL196727 NTH196629:NTH196727 ODD196629:ODD196727 OMZ196629:OMZ196727 OWV196629:OWV196727 PGR196629:PGR196727 PQN196629:PQN196727 QAJ196629:QAJ196727 QKF196629:QKF196727 QUB196629:QUB196727 RDX196629:RDX196727 RNT196629:RNT196727 RXP196629:RXP196727 SHL196629:SHL196727 SRH196629:SRH196727 TBD196629:TBD196727 TKZ196629:TKZ196727 TUV196629:TUV196727 UER196629:UER196727 UON196629:UON196727 UYJ196629:UYJ196727 VIF196629:VIF196727 VSB196629:VSB196727 WBX196629:WBX196727 WLT196629:WLT196727 WVP196629:WVP196727 JD262165:JD262263 SZ262165:SZ262263 ACV262165:ACV262263 AMR262165:AMR262263 AWN262165:AWN262263 BGJ262165:BGJ262263 BQF262165:BQF262263 CAB262165:CAB262263 CJX262165:CJX262263 CTT262165:CTT262263 DDP262165:DDP262263 DNL262165:DNL262263 DXH262165:DXH262263 EHD262165:EHD262263 EQZ262165:EQZ262263 FAV262165:FAV262263 FKR262165:FKR262263 FUN262165:FUN262263 GEJ262165:GEJ262263 GOF262165:GOF262263 GYB262165:GYB262263 HHX262165:HHX262263 HRT262165:HRT262263 IBP262165:IBP262263 ILL262165:ILL262263 IVH262165:IVH262263 JFD262165:JFD262263 JOZ262165:JOZ262263 JYV262165:JYV262263 KIR262165:KIR262263 KSN262165:KSN262263 LCJ262165:LCJ262263 LMF262165:LMF262263 LWB262165:LWB262263 MFX262165:MFX262263 MPT262165:MPT262263 MZP262165:MZP262263 NJL262165:NJL262263 NTH262165:NTH262263 ODD262165:ODD262263 OMZ262165:OMZ262263 OWV262165:OWV262263 PGR262165:PGR262263 PQN262165:PQN262263 QAJ262165:QAJ262263 QKF262165:QKF262263 QUB262165:QUB262263 RDX262165:RDX262263 RNT262165:RNT262263 RXP262165:RXP262263 SHL262165:SHL262263 SRH262165:SRH262263 TBD262165:TBD262263 TKZ262165:TKZ262263 TUV262165:TUV262263 UER262165:UER262263 UON262165:UON262263 UYJ262165:UYJ262263 VIF262165:VIF262263 VSB262165:VSB262263 WBX262165:WBX262263 WLT262165:WLT262263 WVP262165:WVP262263 JD327701:JD327799 SZ327701:SZ327799 ACV327701:ACV327799 AMR327701:AMR327799 AWN327701:AWN327799 BGJ327701:BGJ327799 BQF327701:BQF327799 CAB327701:CAB327799 CJX327701:CJX327799 CTT327701:CTT327799 DDP327701:DDP327799 DNL327701:DNL327799 DXH327701:DXH327799 EHD327701:EHD327799 EQZ327701:EQZ327799 FAV327701:FAV327799 FKR327701:FKR327799 FUN327701:FUN327799 GEJ327701:GEJ327799 GOF327701:GOF327799 GYB327701:GYB327799 HHX327701:HHX327799 HRT327701:HRT327799 IBP327701:IBP327799 ILL327701:ILL327799 IVH327701:IVH327799 JFD327701:JFD327799 JOZ327701:JOZ327799 JYV327701:JYV327799 KIR327701:KIR327799 KSN327701:KSN327799 LCJ327701:LCJ327799 LMF327701:LMF327799 LWB327701:LWB327799 MFX327701:MFX327799 MPT327701:MPT327799 MZP327701:MZP327799 NJL327701:NJL327799 NTH327701:NTH327799 ODD327701:ODD327799 OMZ327701:OMZ327799 OWV327701:OWV327799 PGR327701:PGR327799 PQN327701:PQN327799 QAJ327701:QAJ327799 QKF327701:QKF327799 QUB327701:QUB327799 RDX327701:RDX327799 RNT327701:RNT327799 RXP327701:RXP327799 SHL327701:SHL327799 SRH327701:SRH327799 TBD327701:TBD327799 TKZ327701:TKZ327799 TUV327701:TUV327799 UER327701:UER327799 UON327701:UON327799 UYJ327701:UYJ327799 VIF327701:VIF327799 VSB327701:VSB327799 WBX327701:WBX327799 WLT327701:WLT327799 WVP327701:WVP327799 JD393237:JD393335 SZ393237:SZ393335 ACV393237:ACV393335 AMR393237:AMR393335 AWN393237:AWN393335 BGJ393237:BGJ393335 BQF393237:BQF393335 CAB393237:CAB393335 CJX393237:CJX393335 CTT393237:CTT393335 DDP393237:DDP393335 DNL393237:DNL393335 DXH393237:DXH393335 EHD393237:EHD393335 EQZ393237:EQZ393335 FAV393237:FAV393335 FKR393237:FKR393335 FUN393237:FUN393335 GEJ393237:GEJ393335 GOF393237:GOF393335 GYB393237:GYB393335 HHX393237:HHX393335 HRT393237:HRT393335 IBP393237:IBP393335 ILL393237:ILL393335 IVH393237:IVH393335 JFD393237:JFD393335 JOZ393237:JOZ393335 JYV393237:JYV393335 KIR393237:KIR393335 KSN393237:KSN393335 LCJ393237:LCJ393335 LMF393237:LMF393335 LWB393237:LWB393335 MFX393237:MFX393335 MPT393237:MPT393335 MZP393237:MZP393335 NJL393237:NJL393335 NTH393237:NTH393335 ODD393237:ODD393335 OMZ393237:OMZ393335 OWV393237:OWV393335 PGR393237:PGR393335 PQN393237:PQN393335 QAJ393237:QAJ393335 QKF393237:QKF393335 QUB393237:QUB393335 RDX393237:RDX393335 RNT393237:RNT393335 RXP393237:RXP393335 SHL393237:SHL393335 SRH393237:SRH393335 TBD393237:TBD393335 TKZ393237:TKZ393335 TUV393237:TUV393335 UER393237:UER393335 UON393237:UON393335 UYJ393237:UYJ393335 VIF393237:VIF393335 VSB393237:VSB393335 WBX393237:WBX393335 WLT393237:WLT393335 WVP393237:WVP393335 JD458773:JD458871 SZ458773:SZ458871 ACV458773:ACV458871 AMR458773:AMR458871 AWN458773:AWN458871 BGJ458773:BGJ458871 BQF458773:BQF458871 CAB458773:CAB458871 CJX458773:CJX458871 CTT458773:CTT458871 DDP458773:DDP458871 DNL458773:DNL458871 DXH458773:DXH458871 EHD458773:EHD458871 EQZ458773:EQZ458871 FAV458773:FAV458871 FKR458773:FKR458871 FUN458773:FUN458871 GEJ458773:GEJ458871 GOF458773:GOF458871 GYB458773:GYB458871 HHX458773:HHX458871 HRT458773:HRT458871 IBP458773:IBP458871 ILL458773:ILL458871 IVH458773:IVH458871 JFD458773:JFD458871 JOZ458773:JOZ458871 JYV458773:JYV458871 KIR458773:KIR458871 KSN458773:KSN458871 LCJ458773:LCJ458871 LMF458773:LMF458871 LWB458773:LWB458871 MFX458773:MFX458871 MPT458773:MPT458871 MZP458773:MZP458871 NJL458773:NJL458871 NTH458773:NTH458871 ODD458773:ODD458871 OMZ458773:OMZ458871 OWV458773:OWV458871 PGR458773:PGR458871 PQN458773:PQN458871 QAJ458773:QAJ458871 QKF458773:QKF458871 QUB458773:QUB458871 RDX458773:RDX458871 RNT458773:RNT458871 RXP458773:RXP458871 SHL458773:SHL458871 SRH458773:SRH458871 TBD458773:TBD458871 TKZ458773:TKZ458871 TUV458773:TUV458871 UER458773:UER458871 UON458773:UON458871 UYJ458773:UYJ458871 VIF458773:VIF458871 VSB458773:VSB458871 WBX458773:WBX458871 WLT458773:WLT458871 WVP458773:WVP458871 JD524309:JD524407 SZ524309:SZ524407 ACV524309:ACV524407 AMR524309:AMR524407 AWN524309:AWN524407 BGJ524309:BGJ524407 BQF524309:BQF524407 CAB524309:CAB524407 CJX524309:CJX524407 CTT524309:CTT524407 DDP524309:DDP524407 DNL524309:DNL524407 DXH524309:DXH524407 EHD524309:EHD524407 EQZ524309:EQZ524407 FAV524309:FAV524407 FKR524309:FKR524407 FUN524309:FUN524407 GEJ524309:GEJ524407 GOF524309:GOF524407 GYB524309:GYB524407 HHX524309:HHX524407 HRT524309:HRT524407 IBP524309:IBP524407 ILL524309:ILL524407 IVH524309:IVH524407 JFD524309:JFD524407 JOZ524309:JOZ524407 JYV524309:JYV524407 KIR524309:KIR524407 KSN524309:KSN524407 LCJ524309:LCJ524407 LMF524309:LMF524407 LWB524309:LWB524407 MFX524309:MFX524407 MPT524309:MPT524407 MZP524309:MZP524407 NJL524309:NJL524407 NTH524309:NTH524407 ODD524309:ODD524407 OMZ524309:OMZ524407 OWV524309:OWV524407 PGR524309:PGR524407 PQN524309:PQN524407 QAJ524309:QAJ524407 QKF524309:QKF524407 QUB524309:QUB524407 RDX524309:RDX524407 RNT524309:RNT524407 RXP524309:RXP524407 SHL524309:SHL524407 SRH524309:SRH524407 TBD524309:TBD524407 TKZ524309:TKZ524407 TUV524309:TUV524407 UER524309:UER524407 UON524309:UON524407 UYJ524309:UYJ524407 VIF524309:VIF524407 VSB524309:VSB524407 WBX524309:WBX524407 WLT524309:WLT524407 WVP524309:WVP524407 JD589845:JD589943 SZ589845:SZ589943 ACV589845:ACV589943 AMR589845:AMR589943 AWN589845:AWN589943 BGJ589845:BGJ589943 BQF589845:BQF589943 CAB589845:CAB589943 CJX589845:CJX589943 CTT589845:CTT589943 DDP589845:DDP589943 DNL589845:DNL589943 DXH589845:DXH589943 EHD589845:EHD589943 EQZ589845:EQZ589943 FAV589845:FAV589943 FKR589845:FKR589943 FUN589845:FUN589943 GEJ589845:GEJ589943 GOF589845:GOF589943 GYB589845:GYB589943 HHX589845:HHX589943 HRT589845:HRT589943 IBP589845:IBP589943 ILL589845:ILL589943 IVH589845:IVH589943 JFD589845:JFD589943 JOZ589845:JOZ589943 JYV589845:JYV589943 KIR589845:KIR589943 KSN589845:KSN589943 LCJ589845:LCJ589943 LMF589845:LMF589943 LWB589845:LWB589943 MFX589845:MFX589943 MPT589845:MPT589943 MZP589845:MZP589943 NJL589845:NJL589943 NTH589845:NTH589943 ODD589845:ODD589943 OMZ589845:OMZ589943 OWV589845:OWV589943 PGR589845:PGR589943 PQN589845:PQN589943 QAJ589845:QAJ589943 QKF589845:QKF589943 QUB589845:QUB589943 RDX589845:RDX589943 RNT589845:RNT589943 RXP589845:RXP589943 SHL589845:SHL589943 SRH589845:SRH589943 TBD589845:TBD589943 TKZ589845:TKZ589943 TUV589845:TUV589943 UER589845:UER589943 UON589845:UON589943 UYJ589845:UYJ589943 VIF589845:VIF589943 VSB589845:VSB589943 WBX589845:WBX589943 WLT589845:WLT589943 WVP589845:WVP589943 JD655381:JD655479 SZ655381:SZ655479 ACV655381:ACV655479 AMR655381:AMR655479 AWN655381:AWN655479 BGJ655381:BGJ655479 BQF655381:BQF655479 CAB655381:CAB655479 CJX655381:CJX655479 CTT655381:CTT655479 DDP655381:DDP655479 DNL655381:DNL655479 DXH655381:DXH655479 EHD655381:EHD655479 EQZ655381:EQZ655479 FAV655381:FAV655479 FKR655381:FKR655479 FUN655381:FUN655479 GEJ655381:GEJ655479 GOF655381:GOF655479 GYB655381:GYB655479 HHX655381:HHX655479 HRT655381:HRT655479 IBP655381:IBP655479 ILL655381:ILL655479 IVH655381:IVH655479 JFD655381:JFD655479 JOZ655381:JOZ655479 JYV655381:JYV655479 KIR655381:KIR655479 KSN655381:KSN655479 LCJ655381:LCJ655479 LMF655381:LMF655479 LWB655381:LWB655479 MFX655381:MFX655479 MPT655381:MPT655479 MZP655381:MZP655479 NJL655381:NJL655479 NTH655381:NTH655479 ODD655381:ODD655479 OMZ655381:OMZ655479 OWV655381:OWV655479 PGR655381:PGR655479 PQN655381:PQN655479 QAJ655381:QAJ655479 QKF655381:QKF655479 QUB655381:QUB655479 RDX655381:RDX655479 RNT655381:RNT655479 RXP655381:RXP655479 SHL655381:SHL655479 SRH655381:SRH655479 TBD655381:TBD655479 TKZ655381:TKZ655479 TUV655381:TUV655479 UER655381:UER655479 UON655381:UON655479 UYJ655381:UYJ655479 VIF655381:VIF655479 VSB655381:VSB655479 WBX655381:WBX655479 WLT655381:WLT655479 WVP655381:WVP655479 JD720917:JD721015 SZ720917:SZ721015 ACV720917:ACV721015 AMR720917:AMR721015 AWN720917:AWN721015 BGJ720917:BGJ721015 BQF720917:BQF721015 CAB720917:CAB721015 CJX720917:CJX721015 CTT720917:CTT721015 DDP720917:DDP721015 DNL720917:DNL721015 DXH720917:DXH721015 EHD720917:EHD721015 EQZ720917:EQZ721015 FAV720917:FAV721015 FKR720917:FKR721015 FUN720917:FUN721015 GEJ720917:GEJ721015 GOF720917:GOF721015 GYB720917:GYB721015 HHX720917:HHX721015 HRT720917:HRT721015 IBP720917:IBP721015 ILL720917:ILL721015 IVH720917:IVH721015 JFD720917:JFD721015 JOZ720917:JOZ721015 JYV720917:JYV721015 KIR720917:KIR721015 KSN720917:KSN721015 LCJ720917:LCJ721015 LMF720917:LMF721015 LWB720917:LWB721015 MFX720917:MFX721015 MPT720917:MPT721015 MZP720917:MZP721015 NJL720917:NJL721015 NTH720917:NTH721015 ODD720917:ODD721015 OMZ720917:OMZ721015 OWV720917:OWV721015 PGR720917:PGR721015 PQN720917:PQN721015 QAJ720917:QAJ721015 QKF720917:QKF721015 QUB720917:QUB721015 RDX720917:RDX721015 RNT720917:RNT721015 RXP720917:RXP721015 SHL720917:SHL721015 SRH720917:SRH721015 TBD720917:TBD721015 TKZ720917:TKZ721015 TUV720917:TUV721015 UER720917:UER721015 UON720917:UON721015 UYJ720917:UYJ721015 VIF720917:VIF721015 VSB720917:VSB721015 WBX720917:WBX721015 WLT720917:WLT721015 WVP720917:WVP721015 JD786453:JD786551 SZ786453:SZ786551 ACV786453:ACV786551 AMR786453:AMR786551 AWN786453:AWN786551 BGJ786453:BGJ786551 BQF786453:BQF786551 CAB786453:CAB786551 CJX786453:CJX786551 CTT786453:CTT786551 DDP786453:DDP786551 DNL786453:DNL786551 DXH786453:DXH786551 EHD786453:EHD786551 EQZ786453:EQZ786551 FAV786453:FAV786551 FKR786453:FKR786551 FUN786453:FUN786551 GEJ786453:GEJ786551 GOF786453:GOF786551 GYB786453:GYB786551 HHX786453:HHX786551 HRT786453:HRT786551 IBP786453:IBP786551 ILL786453:ILL786551 IVH786453:IVH786551 JFD786453:JFD786551 JOZ786453:JOZ786551 JYV786453:JYV786551 KIR786453:KIR786551 KSN786453:KSN786551 LCJ786453:LCJ786551 LMF786453:LMF786551 LWB786453:LWB786551 MFX786453:MFX786551 MPT786453:MPT786551 MZP786453:MZP786551 NJL786453:NJL786551 NTH786453:NTH786551 ODD786453:ODD786551 OMZ786453:OMZ786551 OWV786453:OWV786551 PGR786453:PGR786551 PQN786453:PQN786551 QAJ786453:QAJ786551 QKF786453:QKF786551 QUB786453:QUB786551 RDX786453:RDX786551 RNT786453:RNT786551 RXP786453:RXP786551 SHL786453:SHL786551 SRH786453:SRH786551 TBD786453:TBD786551 TKZ786453:TKZ786551 TUV786453:TUV786551 UER786453:UER786551 UON786453:UON786551 UYJ786453:UYJ786551 VIF786453:VIF786551 VSB786453:VSB786551 WBX786453:WBX786551 WLT786453:WLT786551 WVP786453:WVP786551 JD851989:JD852087 SZ851989:SZ852087 ACV851989:ACV852087 AMR851989:AMR852087 AWN851989:AWN852087 BGJ851989:BGJ852087 BQF851989:BQF852087 CAB851989:CAB852087 CJX851989:CJX852087 CTT851989:CTT852087 DDP851989:DDP852087 DNL851989:DNL852087 DXH851989:DXH852087 EHD851989:EHD852087 EQZ851989:EQZ852087 FAV851989:FAV852087 FKR851989:FKR852087 FUN851989:FUN852087 GEJ851989:GEJ852087 GOF851989:GOF852087 GYB851989:GYB852087 HHX851989:HHX852087 HRT851989:HRT852087 IBP851989:IBP852087 ILL851989:ILL852087 IVH851989:IVH852087 JFD851989:JFD852087 JOZ851989:JOZ852087 JYV851989:JYV852087 KIR851989:KIR852087 KSN851989:KSN852087 LCJ851989:LCJ852087 LMF851989:LMF852087 LWB851989:LWB852087 MFX851989:MFX852087 MPT851989:MPT852087 MZP851989:MZP852087 NJL851989:NJL852087 NTH851989:NTH852087 ODD851989:ODD852087 OMZ851989:OMZ852087 OWV851989:OWV852087 PGR851989:PGR852087 PQN851989:PQN852087 QAJ851989:QAJ852087 QKF851989:QKF852087 QUB851989:QUB852087 RDX851989:RDX852087 RNT851989:RNT852087 RXP851989:RXP852087 SHL851989:SHL852087 SRH851989:SRH852087 TBD851989:TBD852087 TKZ851989:TKZ852087 TUV851989:TUV852087 UER851989:UER852087 UON851989:UON852087 UYJ851989:UYJ852087 VIF851989:VIF852087 VSB851989:VSB852087 WBX851989:WBX852087 WLT851989:WLT852087 WVP851989:WVP852087 JD917525:JD917623 SZ917525:SZ917623 ACV917525:ACV917623 AMR917525:AMR917623 AWN917525:AWN917623 BGJ917525:BGJ917623 BQF917525:BQF917623 CAB917525:CAB917623 CJX917525:CJX917623 CTT917525:CTT917623 DDP917525:DDP917623 DNL917525:DNL917623 DXH917525:DXH917623 EHD917525:EHD917623 EQZ917525:EQZ917623 FAV917525:FAV917623 FKR917525:FKR917623 FUN917525:FUN917623 GEJ917525:GEJ917623 GOF917525:GOF917623 GYB917525:GYB917623 HHX917525:HHX917623 HRT917525:HRT917623 IBP917525:IBP917623 ILL917525:ILL917623 IVH917525:IVH917623 JFD917525:JFD917623 JOZ917525:JOZ917623 JYV917525:JYV917623 KIR917525:KIR917623 KSN917525:KSN917623 LCJ917525:LCJ917623 LMF917525:LMF917623 LWB917525:LWB917623 MFX917525:MFX917623 MPT917525:MPT917623 MZP917525:MZP917623 NJL917525:NJL917623 NTH917525:NTH917623 ODD917525:ODD917623 OMZ917525:OMZ917623 OWV917525:OWV917623 PGR917525:PGR917623 PQN917525:PQN917623 QAJ917525:QAJ917623 QKF917525:QKF917623 QUB917525:QUB917623 RDX917525:RDX917623 RNT917525:RNT917623 RXP917525:RXP917623 SHL917525:SHL917623 SRH917525:SRH917623 TBD917525:TBD917623 TKZ917525:TKZ917623 TUV917525:TUV917623 UER917525:UER917623 UON917525:UON917623 UYJ917525:UYJ917623 VIF917525:VIF917623 VSB917525:VSB917623 WBX917525:WBX917623 WLT917525:WLT917623 WVP917525:WVP917623 JD983061:JD983159 SZ983061:SZ983159 ACV983061:ACV983159 AMR983061:AMR983159 AWN983061:AWN983159 BGJ983061:BGJ983159 BQF983061:BQF983159 CAB983061:CAB983159 CJX983061:CJX983159 CTT983061:CTT983159 DDP983061:DDP983159 DNL983061:DNL983159 DXH983061:DXH983159 EHD983061:EHD983159 EQZ983061:EQZ983159 FAV983061:FAV983159 FKR983061:FKR983159 FUN983061:FUN983159 GEJ983061:GEJ983159 GOF983061:GOF983159 GYB983061:GYB983159 HHX983061:HHX983159 HRT983061:HRT983159 IBP983061:IBP983159 ILL983061:ILL983159 IVH983061:IVH983159 JFD983061:JFD983159 JOZ983061:JOZ983159 JYV983061:JYV983159 KIR983061:KIR983159 KSN983061:KSN983159 LCJ983061:LCJ983159 LMF983061:LMF983159 LWB983061:LWB983159 MFX983061:MFX983159 MPT983061:MPT983159 MZP983061:MZP983159 NJL983061:NJL983159 NTH983061:NTH983159 ODD983061:ODD983159 OMZ983061:OMZ983159 OWV983061:OWV983159 PGR983061:PGR983159 PQN983061:PQN983159 QAJ983061:QAJ983159 QKF983061:QKF983159 QUB983061:QUB983159 RDX983061:RDX983159 RNT983061:RNT983159 RXP983061:RXP983159 SHL983061:SHL983159 SRH983061:SRH983159 TBD983061:TBD983159 TKZ983061:TKZ983159 TUV983061:TUV983159 UER983061:UER983159 UON983061:UON983159 UYJ983061:UYJ983159 VIF983061:VIF983159 VSB983061:VSB983159 WBX983061:WBX983159 WLT983061:WLT983159 WVP983061:WVP983159">
      <formula1>#REF!</formula1>
    </dataValidation>
    <dataValidation type="list" errorStyle="information" allowBlank="1" showInputMessage="1" showErrorMessage="1" errorTitle="Incentives to Redeem" error="Please input either: _x000a__x000a_Y = Yes_x000a_N = No" sqref="JC21:JC119 SY21:SY119 ACU21:ACU119 AMQ21:AMQ119 AWM21:AWM119 BGI21:BGI119 BQE21:BQE119 CAA21:CAA119 CJW21:CJW119 CTS21:CTS119 DDO21:DDO119 DNK21:DNK119 DXG21:DXG119 EHC21:EHC119 EQY21:EQY119 FAU21:FAU119 FKQ21:FKQ119 FUM21:FUM119 GEI21:GEI119 GOE21:GOE119 GYA21:GYA119 HHW21:HHW119 HRS21:HRS119 IBO21:IBO119 ILK21:ILK119 IVG21:IVG119 JFC21:JFC119 JOY21:JOY119 JYU21:JYU119 KIQ21:KIQ119 KSM21:KSM119 LCI21:LCI119 LME21:LME119 LWA21:LWA119 MFW21:MFW119 MPS21:MPS119 MZO21:MZO119 NJK21:NJK119 NTG21:NTG119 ODC21:ODC119 OMY21:OMY119 OWU21:OWU119 PGQ21:PGQ119 PQM21:PQM119 QAI21:QAI119 QKE21:QKE119 QUA21:QUA119 RDW21:RDW119 RNS21:RNS119 RXO21:RXO119 SHK21:SHK119 SRG21:SRG119 TBC21:TBC119 TKY21:TKY119 TUU21:TUU119 UEQ21:UEQ119 UOM21:UOM119 UYI21:UYI119 VIE21:VIE119 VSA21:VSA119 WBW21:WBW119 WLS21:WLS119 WVO21:WVO119 JC65557:JC65655 SY65557:SY65655 ACU65557:ACU65655 AMQ65557:AMQ65655 AWM65557:AWM65655 BGI65557:BGI65655 BQE65557:BQE65655 CAA65557:CAA65655 CJW65557:CJW65655 CTS65557:CTS65655 DDO65557:DDO65655 DNK65557:DNK65655 DXG65557:DXG65655 EHC65557:EHC65655 EQY65557:EQY65655 FAU65557:FAU65655 FKQ65557:FKQ65655 FUM65557:FUM65655 GEI65557:GEI65655 GOE65557:GOE65655 GYA65557:GYA65655 HHW65557:HHW65655 HRS65557:HRS65655 IBO65557:IBO65655 ILK65557:ILK65655 IVG65557:IVG65655 JFC65557:JFC65655 JOY65557:JOY65655 JYU65557:JYU65655 KIQ65557:KIQ65655 KSM65557:KSM65655 LCI65557:LCI65655 LME65557:LME65655 LWA65557:LWA65655 MFW65557:MFW65655 MPS65557:MPS65655 MZO65557:MZO65655 NJK65557:NJK65655 NTG65557:NTG65655 ODC65557:ODC65655 OMY65557:OMY65655 OWU65557:OWU65655 PGQ65557:PGQ65655 PQM65557:PQM65655 QAI65557:QAI65655 QKE65557:QKE65655 QUA65557:QUA65655 RDW65557:RDW65655 RNS65557:RNS65655 RXO65557:RXO65655 SHK65557:SHK65655 SRG65557:SRG65655 TBC65557:TBC65655 TKY65557:TKY65655 TUU65557:TUU65655 UEQ65557:UEQ65655 UOM65557:UOM65655 UYI65557:UYI65655 VIE65557:VIE65655 VSA65557:VSA65655 WBW65557:WBW65655 WLS65557:WLS65655 WVO65557:WVO65655 JC131093:JC131191 SY131093:SY131191 ACU131093:ACU131191 AMQ131093:AMQ131191 AWM131093:AWM131191 BGI131093:BGI131191 BQE131093:BQE131191 CAA131093:CAA131191 CJW131093:CJW131191 CTS131093:CTS131191 DDO131093:DDO131191 DNK131093:DNK131191 DXG131093:DXG131191 EHC131093:EHC131191 EQY131093:EQY131191 FAU131093:FAU131191 FKQ131093:FKQ131191 FUM131093:FUM131191 GEI131093:GEI131191 GOE131093:GOE131191 GYA131093:GYA131191 HHW131093:HHW131191 HRS131093:HRS131191 IBO131093:IBO131191 ILK131093:ILK131191 IVG131093:IVG131191 JFC131093:JFC131191 JOY131093:JOY131191 JYU131093:JYU131191 KIQ131093:KIQ131191 KSM131093:KSM131191 LCI131093:LCI131191 LME131093:LME131191 LWA131093:LWA131191 MFW131093:MFW131191 MPS131093:MPS131191 MZO131093:MZO131191 NJK131093:NJK131191 NTG131093:NTG131191 ODC131093:ODC131191 OMY131093:OMY131191 OWU131093:OWU131191 PGQ131093:PGQ131191 PQM131093:PQM131191 QAI131093:QAI131191 QKE131093:QKE131191 QUA131093:QUA131191 RDW131093:RDW131191 RNS131093:RNS131191 RXO131093:RXO131191 SHK131093:SHK131191 SRG131093:SRG131191 TBC131093:TBC131191 TKY131093:TKY131191 TUU131093:TUU131191 UEQ131093:UEQ131191 UOM131093:UOM131191 UYI131093:UYI131191 VIE131093:VIE131191 VSA131093:VSA131191 WBW131093:WBW131191 WLS131093:WLS131191 WVO131093:WVO131191 JC196629:JC196727 SY196629:SY196727 ACU196629:ACU196727 AMQ196629:AMQ196727 AWM196629:AWM196727 BGI196629:BGI196727 BQE196629:BQE196727 CAA196629:CAA196727 CJW196629:CJW196727 CTS196629:CTS196727 DDO196629:DDO196727 DNK196629:DNK196727 DXG196629:DXG196727 EHC196629:EHC196727 EQY196629:EQY196727 FAU196629:FAU196727 FKQ196629:FKQ196727 FUM196629:FUM196727 GEI196629:GEI196727 GOE196629:GOE196727 GYA196629:GYA196727 HHW196629:HHW196727 HRS196629:HRS196727 IBO196629:IBO196727 ILK196629:ILK196727 IVG196629:IVG196727 JFC196629:JFC196727 JOY196629:JOY196727 JYU196629:JYU196727 KIQ196629:KIQ196727 KSM196629:KSM196727 LCI196629:LCI196727 LME196629:LME196727 LWA196629:LWA196727 MFW196629:MFW196727 MPS196629:MPS196727 MZO196629:MZO196727 NJK196629:NJK196727 NTG196629:NTG196727 ODC196629:ODC196727 OMY196629:OMY196727 OWU196629:OWU196727 PGQ196629:PGQ196727 PQM196629:PQM196727 QAI196629:QAI196727 QKE196629:QKE196727 QUA196629:QUA196727 RDW196629:RDW196727 RNS196629:RNS196727 RXO196629:RXO196727 SHK196629:SHK196727 SRG196629:SRG196727 TBC196629:TBC196727 TKY196629:TKY196727 TUU196629:TUU196727 UEQ196629:UEQ196727 UOM196629:UOM196727 UYI196629:UYI196727 VIE196629:VIE196727 VSA196629:VSA196727 WBW196629:WBW196727 WLS196629:WLS196727 WVO196629:WVO196727 JC262165:JC262263 SY262165:SY262263 ACU262165:ACU262263 AMQ262165:AMQ262263 AWM262165:AWM262263 BGI262165:BGI262263 BQE262165:BQE262263 CAA262165:CAA262263 CJW262165:CJW262263 CTS262165:CTS262263 DDO262165:DDO262263 DNK262165:DNK262263 DXG262165:DXG262263 EHC262165:EHC262263 EQY262165:EQY262263 FAU262165:FAU262263 FKQ262165:FKQ262263 FUM262165:FUM262263 GEI262165:GEI262263 GOE262165:GOE262263 GYA262165:GYA262263 HHW262165:HHW262263 HRS262165:HRS262263 IBO262165:IBO262263 ILK262165:ILK262263 IVG262165:IVG262263 JFC262165:JFC262263 JOY262165:JOY262263 JYU262165:JYU262263 KIQ262165:KIQ262263 KSM262165:KSM262263 LCI262165:LCI262263 LME262165:LME262263 LWA262165:LWA262263 MFW262165:MFW262263 MPS262165:MPS262263 MZO262165:MZO262263 NJK262165:NJK262263 NTG262165:NTG262263 ODC262165:ODC262263 OMY262165:OMY262263 OWU262165:OWU262263 PGQ262165:PGQ262263 PQM262165:PQM262263 QAI262165:QAI262263 QKE262165:QKE262263 QUA262165:QUA262263 RDW262165:RDW262263 RNS262165:RNS262263 RXO262165:RXO262263 SHK262165:SHK262263 SRG262165:SRG262263 TBC262165:TBC262263 TKY262165:TKY262263 TUU262165:TUU262263 UEQ262165:UEQ262263 UOM262165:UOM262263 UYI262165:UYI262263 VIE262165:VIE262263 VSA262165:VSA262263 WBW262165:WBW262263 WLS262165:WLS262263 WVO262165:WVO262263 JC327701:JC327799 SY327701:SY327799 ACU327701:ACU327799 AMQ327701:AMQ327799 AWM327701:AWM327799 BGI327701:BGI327799 BQE327701:BQE327799 CAA327701:CAA327799 CJW327701:CJW327799 CTS327701:CTS327799 DDO327701:DDO327799 DNK327701:DNK327799 DXG327701:DXG327799 EHC327701:EHC327799 EQY327701:EQY327799 FAU327701:FAU327799 FKQ327701:FKQ327799 FUM327701:FUM327799 GEI327701:GEI327799 GOE327701:GOE327799 GYA327701:GYA327799 HHW327701:HHW327799 HRS327701:HRS327799 IBO327701:IBO327799 ILK327701:ILK327799 IVG327701:IVG327799 JFC327701:JFC327799 JOY327701:JOY327799 JYU327701:JYU327799 KIQ327701:KIQ327799 KSM327701:KSM327799 LCI327701:LCI327799 LME327701:LME327799 LWA327701:LWA327799 MFW327701:MFW327799 MPS327701:MPS327799 MZO327701:MZO327799 NJK327701:NJK327799 NTG327701:NTG327799 ODC327701:ODC327799 OMY327701:OMY327799 OWU327701:OWU327799 PGQ327701:PGQ327799 PQM327701:PQM327799 QAI327701:QAI327799 QKE327701:QKE327799 QUA327701:QUA327799 RDW327701:RDW327799 RNS327701:RNS327799 RXO327701:RXO327799 SHK327701:SHK327799 SRG327701:SRG327799 TBC327701:TBC327799 TKY327701:TKY327799 TUU327701:TUU327799 UEQ327701:UEQ327799 UOM327701:UOM327799 UYI327701:UYI327799 VIE327701:VIE327799 VSA327701:VSA327799 WBW327701:WBW327799 WLS327701:WLS327799 WVO327701:WVO327799 JC393237:JC393335 SY393237:SY393335 ACU393237:ACU393335 AMQ393237:AMQ393335 AWM393237:AWM393335 BGI393237:BGI393335 BQE393237:BQE393335 CAA393237:CAA393335 CJW393237:CJW393335 CTS393237:CTS393335 DDO393237:DDO393335 DNK393237:DNK393335 DXG393237:DXG393335 EHC393237:EHC393335 EQY393237:EQY393335 FAU393237:FAU393335 FKQ393237:FKQ393335 FUM393237:FUM393335 GEI393237:GEI393335 GOE393237:GOE393335 GYA393237:GYA393335 HHW393237:HHW393335 HRS393237:HRS393335 IBO393237:IBO393335 ILK393237:ILK393335 IVG393237:IVG393335 JFC393237:JFC393335 JOY393237:JOY393335 JYU393237:JYU393335 KIQ393237:KIQ393335 KSM393237:KSM393335 LCI393237:LCI393335 LME393237:LME393335 LWA393237:LWA393335 MFW393237:MFW393335 MPS393237:MPS393335 MZO393237:MZO393335 NJK393237:NJK393335 NTG393237:NTG393335 ODC393237:ODC393335 OMY393237:OMY393335 OWU393237:OWU393335 PGQ393237:PGQ393335 PQM393237:PQM393335 QAI393237:QAI393335 QKE393237:QKE393335 QUA393237:QUA393335 RDW393237:RDW393335 RNS393237:RNS393335 RXO393237:RXO393335 SHK393237:SHK393335 SRG393237:SRG393335 TBC393237:TBC393335 TKY393237:TKY393335 TUU393237:TUU393335 UEQ393237:UEQ393335 UOM393237:UOM393335 UYI393237:UYI393335 VIE393237:VIE393335 VSA393237:VSA393335 WBW393237:WBW393335 WLS393237:WLS393335 WVO393237:WVO393335 JC458773:JC458871 SY458773:SY458871 ACU458773:ACU458871 AMQ458773:AMQ458871 AWM458773:AWM458871 BGI458773:BGI458871 BQE458773:BQE458871 CAA458773:CAA458871 CJW458773:CJW458871 CTS458773:CTS458871 DDO458773:DDO458871 DNK458773:DNK458871 DXG458773:DXG458871 EHC458773:EHC458871 EQY458773:EQY458871 FAU458773:FAU458871 FKQ458773:FKQ458871 FUM458773:FUM458871 GEI458773:GEI458871 GOE458773:GOE458871 GYA458773:GYA458871 HHW458773:HHW458871 HRS458773:HRS458871 IBO458773:IBO458871 ILK458773:ILK458871 IVG458773:IVG458871 JFC458773:JFC458871 JOY458773:JOY458871 JYU458773:JYU458871 KIQ458773:KIQ458871 KSM458773:KSM458871 LCI458773:LCI458871 LME458773:LME458871 LWA458773:LWA458871 MFW458773:MFW458871 MPS458773:MPS458871 MZO458773:MZO458871 NJK458773:NJK458871 NTG458773:NTG458871 ODC458773:ODC458871 OMY458773:OMY458871 OWU458773:OWU458871 PGQ458773:PGQ458871 PQM458773:PQM458871 QAI458773:QAI458871 QKE458773:QKE458871 QUA458773:QUA458871 RDW458773:RDW458871 RNS458773:RNS458871 RXO458773:RXO458871 SHK458773:SHK458871 SRG458773:SRG458871 TBC458773:TBC458871 TKY458773:TKY458871 TUU458773:TUU458871 UEQ458773:UEQ458871 UOM458773:UOM458871 UYI458773:UYI458871 VIE458773:VIE458871 VSA458773:VSA458871 WBW458773:WBW458871 WLS458773:WLS458871 WVO458773:WVO458871 JC524309:JC524407 SY524309:SY524407 ACU524309:ACU524407 AMQ524309:AMQ524407 AWM524309:AWM524407 BGI524309:BGI524407 BQE524309:BQE524407 CAA524309:CAA524407 CJW524309:CJW524407 CTS524309:CTS524407 DDO524309:DDO524407 DNK524309:DNK524407 DXG524309:DXG524407 EHC524309:EHC524407 EQY524309:EQY524407 FAU524309:FAU524407 FKQ524309:FKQ524407 FUM524309:FUM524407 GEI524309:GEI524407 GOE524309:GOE524407 GYA524309:GYA524407 HHW524309:HHW524407 HRS524309:HRS524407 IBO524309:IBO524407 ILK524309:ILK524407 IVG524309:IVG524407 JFC524309:JFC524407 JOY524309:JOY524407 JYU524309:JYU524407 KIQ524309:KIQ524407 KSM524309:KSM524407 LCI524309:LCI524407 LME524309:LME524407 LWA524309:LWA524407 MFW524309:MFW524407 MPS524309:MPS524407 MZO524309:MZO524407 NJK524309:NJK524407 NTG524309:NTG524407 ODC524309:ODC524407 OMY524309:OMY524407 OWU524309:OWU524407 PGQ524309:PGQ524407 PQM524309:PQM524407 QAI524309:QAI524407 QKE524309:QKE524407 QUA524309:QUA524407 RDW524309:RDW524407 RNS524309:RNS524407 RXO524309:RXO524407 SHK524309:SHK524407 SRG524309:SRG524407 TBC524309:TBC524407 TKY524309:TKY524407 TUU524309:TUU524407 UEQ524309:UEQ524407 UOM524309:UOM524407 UYI524309:UYI524407 VIE524309:VIE524407 VSA524309:VSA524407 WBW524309:WBW524407 WLS524309:WLS524407 WVO524309:WVO524407 JC589845:JC589943 SY589845:SY589943 ACU589845:ACU589943 AMQ589845:AMQ589943 AWM589845:AWM589943 BGI589845:BGI589943 BQE589845:BQE589943 CAA589845:CAA589943 CJW589845:CJW589943 CTS589845:CTS589943 DDO589845:DDO589943 DNK589845:DNK589943 DXG589845:DXG589943 EHC589845:EHC589943 EQY589845:EQY589943 FAU589845:FAU589943 FKQ589845:FKQ589943 FUM589845:FUM589943 GEI589845:GEI589943 GOE589845:GOE589943 GYA589845:GYA589943 HHW589845:HHW589943 HRS589845:HRS589943 IBO589845:IBO589943 ILK589845:ILK589943 IVG589845:IVG589943 JFC589845:JFC589943 JOY589845:JOY589943 JYU589845:JYU589943 KIQ589845:KIQ589943 KSM589845:KSM589943 LCI589845:LCI589943 LME589845:LME589943 LWA589845:LWA589943 MFW589845:MFW589943 MPS589845:MPS589943 MZO589845:MZO589943 NJK589845:NJK589943 NTG589845:NTG589943 ODC589845:ODC589943 OMY589845:OMY589943 OWU589845:OWU589943 PGQ589845:PGQ589943 PQM589845:PQM589943 QAI589845:QAI589943 QKE589845:QKE589943 QUA589845:QUA589943 RDW589845:RDW589943 RNS589845:RNS589943 RXO589845:RXO589943 SHK589845:SHK589943 SRG589845:SRG589943 TBC589845:TBC589943 TKY589845:TKY589943 TUU589845:TUU589943 UEQ589845:UEQ589943 UOM589845:UOM589943 UYI589845:UYI589943 VIE589845:VIE589943 VSA589845:VSA589943 WBW589845:WBW589943 WLS589845:WLS589943 WVO589845:WVO589943 JC655381:JC655479 SY655381:SY655479 ACU655381:ACU655479 AMQ655381:AMQ655479 AWM655381:AWM655479 BGI655381:BGI655479 BQE655381:BQE655479 CAA655381:CAA655479 CJW655381:CJW655479 CTS655381:CTS655479 DDO655381:DDO655479 DNK655381:DNK655479 DXG655381:DXG655479 EHC655381:EHC655479 EQY655381:EQY655479 FAU655381:FAU655479 FKQ655381:FKQ655479 FUM655381:FUM655479 GEI655381:GEI655479 GOE655381:GOE655479 GYA655381:GYA655479 HHW655381:HHW655479 HRS655381:HRS655479 IBO655381:IBO655479 ILK655381:ILK655479 IVG655381:IVG655479 JFC655381:JFC655479 JOY655381:JOY655479 JYU655381:JYU655479 KIQ655381:KIQ655479 KSM655381:KSM655479 LCI655381:LCI655479 LME655381:LME655479 LWA655381:LWA655479 MFW655381:MFW655479 MPS655381:MPS655479 MZO655381:MZO655479 NJK655381:NJK655479 NTG655381:NTG655479 ODC655381:ODC655479 OMY655381:OMY655479 OWU655381:OWU655479 PGQ655381:PGQ655479 PQM655381:PQM655479 QAI655381:QAI655479 QKE655381:QKE655479 QUA655381:QUA655479 RDW655381:RDW655479 RNS655381:RNS655479 RXO655381:RXO655479 SHK655381:SHK655479 SRG655381:SRG655479 TBC655381:TBC655479 TKY655381:TKY655479 TUU655381:TUU655479 UEQ655381:UEQ655479 UOM655381:UOM655479 UYI655381:UYI655479 VIE655381:VIE655479 VSA655381:VSA655479 WBW655381:WBW655479 WLS655381:WLS655479 WVO655381:WVO655479 JC720917:JC721015 SY720917:SY721015 ACU720917:ACU721015 AMQ720917:AMQ721015 AWM720917:AWM721015 BGI720917:BGI721015 BQE720917:BQE721015 CAA720917:CAA721015 CJW720917:CJW721015 CTS720917:CTS721015 DDO720917:DDO721015 DNK720917:DNK721015 DXG720917:DXG721015 EHC720917:EHC721015 EQY720917:EQY721015 FAU720917:FAU721015 FKQ720917:FKQ721015 FUM720917:FUM721015 GEI720917:GEI721015 GOE720917:GOE721015 GYA720917:GYA721015 HHW720917:HHW721015 HRS720917:HRS721015 IBO720917:IBO721015 ILK720917:ILK721015 IVG720917:IVG721015 JFC720917:JFC721015 JOY720917:JOY721015 JYU720917:JYU721015 KIQ720917:KIQ721015 KSM720917:KSM721015 LCI720917:LCI721015 LME720917:LME721015 LWA720917:LWA721015 MFW720917:MFW721015 MPS720917:MPS721015 MZO720917:MZO721015 NJK720917:NJK721015 NTG720917:NTG721015 ODC720917:ODC721015 OMY720917:OMY721015 OWU720917:OWU721015 PGQ720917:PGQ721015 PQM720917:PQM721015 QAI720917:QAI721015 QKE720917:QKE721015 QUA720917:QUA721015 RDW720917:RDW721015 RNS720917:RNS721015 RXO720917:RXO721015 SHK720917:SHK721015 SRG720917:SRG721015 TBC720917:TBC721015 TKY720917:TKY721015 TUU720917:TUU721015 UEQ720917:UEQ721015 UOM720917:UOM721015 UYI720917:UYI721015 VIE720917:VIE721015 VSA720917:VSA721015 WBW720917:WBW721015 WLS720917:WLS721015 WVO720917:WVO721015 JC786453:JC786551 SY786453:SY786551 ACU786453:ACU786551 AMQ786453:AMQ786551 AWM786453:AWM786551 BGI786453:BGI786551 BQE786453:BQE786551 CAA786453:CAA786551 CJW786453:CJW786551 CTS786453:CTS786551 DDO786453:DDO786551 DNK786453:DNK786551 DXG786453:DXG786551 EHC786453:EHC786551 EQY786453:EQY786551 FAU786453:FAU786551 FKQ786453:FKQ786551 FUM786453:FUM786551 GEI786453:GEI786551 GOE786453:GOE786551 GYA786453:GYA786551 HHW786453:HHW786551 HRS786453:HRS786551 IBO786453:IBO786551 ILK786453:ILK786551 IVG786453:IVG786551 JFC786453:JFC786551 JOY786453:JOY786551 JYU786453:JYU786551 KIQ786453:KIQ786551 KSM786453:KSM786551 LCI786453:LCI786551 LME786453:LME786551 LWA786453:LWA786551 MFW786453:MFW786551 MPS786453:MPS786551 MZO786453:MZO786551 NJK786453:NJK786551 NTG786453:NTG786551 ODC786453:ODC786551 OMY786453:OMY786551 OWU786453:OWU786551 PGQ786453:PGQ786551 PQM786453:PQM786551 QAI786453:QAI786551 QKE786453:QKE786551 QUA786453:QUA786551 RDW786453:RDW786551 RNS786453:RNS786551 RXO786453:RXO786551 SHK786453:SHK786551 SRG786453:SRG786551 TBC786453:TBC786551 TKY786453:TKY786551 TUU786453:TUU786551 UEQ786453:UEQ786551 UOM786453:UOM786551 UYI786453:UYI786551 VIE786453:VIE786551 VSA786453:VSA786551 WBW786453:WBW786551 WLS786453:WLS786551 WVO786453:WVO786551 JC851989:JC852087 SY851989:SY852087 ACU851989:ACU852087 AMQ851989:AMQ852087 AWM851989:AWM852087 BGI851989:BGI852087 BQE851989:BQE852087 CAA851989:CAA852087 CJW851989:CJW852087 CTS851989:CTS852087 DDO851989:DDO852087 DNK851989:DNK852087 DXG851989:DXG852087 EHC851989:EHC852087 EQY851989:EQY852087 FAU851989:FAU852087 FKQ851989:FKQ852087 FUM851989:FUM852087 GEI851989:GEI852087 GOE851989:GOE852087 GYA851989:GYA852087 HHW851989:HHW852087 HRS851989:HRS852087 IBO851989:IBO852087 ILK851989:ILK852087 IVG851989:IVG852087 JFC851989:JFC852087 JOY851989:JOY852087 JYU851989:JYU852087 KIQ851989:KIQ852087 KSM851989:KSM852087 LCI851989:LCI852087 LME851989:LME852087 LWA851989:LWA852087 MFW851989:MFW852087 MPS851989:MPS852087 MZO851989:MZO852087 NJK851989:NJK852087 NTG851989:NTG852087 ODC851989:ODC852087 OMY851989:OMY852087 OWU851989:OWU852087 PGQ851989:PGQ852087 PQM851989:PQM852087 QAI851989:QAI852087 QKE851989:QKE852087 QUA851989:QUA852087 RDW851989:RDW852087 RNS851989:RNS852087 RXO851989:RXO852087 SHK851989:SHK852087 SRG851989:SRG852087 TBC851989:TBC852087 TKY851989:TKY852087 TUU851989:TUU852087 UEQ851989:UEQ852087 UOM851989:UOM852087 UYI851989:UYI852087 VIE851989:VIE852087 VSA851989:VSA852087 WBW851989:WBW852087 WLS851989:WLS852087 WVO851989:WVO852087 JC917525:JC917623 SY917525:SY917623 ACU917525:ACU917623 AMQ917525:AMQ917623 AWM917525:AWM917623 BGI917525:BGI917623 BQE917525:BQE917623 CAA917525:CAA917623 CJW917525:CJW917623 CTS917525:CTS917623 DDO917525:DDO917623 DNK917525:DNK917623 DXG917525:DXG917623 EHC917525:EHC917623 EQY917525:EQY917623 FAU917525:FAU917623 FKQ917525:FKQ917623 FUM917525:FUM917623 GEI917525:GEI917623 GOE917525:GOE917623 GYA917525:GYA917623 HHW917525:HHW917623 HRS917525:HRS917623 IBO917525:IBO917623 ILK917525:ILK917623 IVG917525:IVG917623 JFC917525:JFC917623 JOY917525:JOY917623 JYU917525:JYU917623 KIQ917525:KIQ917623 KSM917525:KSM917623 LCI917525:LCI917623 LME917525:LME917623 LWA917525:LWA917623 MFW917525:MFW917623 MPS917525:MPS917623 MZO917525:MZO917623 NJK917525:NJK917623 NTG917525:NTG917623 ODC917525:ODC917623 OMY917525:OMY917623 OWU917525:OWU917623 PGQ917525:PGQ917623 PQM917525:PQM917623 QAI917525:QAI917623 QKE917525:QKE917623 QUA917525:QUA917623 RDW917525:RDW917623 RNS917525:RNS917623 RXO917525:RXO917623 SHK917525:SHK917623 SRG917525:SRG917623 TBC917525:TBC917623 TKY917525:TKY917623 TUU917525:TUU917623 UEQ917525:UEQ917623 UOM917525:UOM917623 UYI917525:UYI917623 VIE917525:VIE917623 VSA917525:VSA917623 WBW917525:WBW917623 WLS917525:WLS917623 WVO917525:WVO917623 JC983061:JC983159 SY983061:SY983159 ACU983061:ACU983159 AMQ983061:AMQ983159 AWM983061:AWM983159 BGI983061:BGI983159 BQE983061:BQE983159 CAA983061:CAA983159 CJW983061:CJW983159 CTS983061:CTS983159 DDO983061:DDO983159 DNK983061:DNK983159 DXG983061:DXG983159 EHC983061:EHC983159 EQY983061:EQY983159 FAU983061:FAU983159 FKQ983061:FKQ983159 FUM983061:FUM983159 GEI983061:GEI983159 GOE983061:GOE983159 GYA983061:GYA983159 HHW983061:HHW983159 HRS983061:HRS983159 IBO983061:IBO983159 ILK983061:ILK983159 IVG983061:IVG983159 JFC983061:JFC983159 JOY983061:JOY983159 JYU983061:JYU983159 KIQ983061:KIQ983159 KSM983061:KSM983159 LCI983061:LCI983159 LME983061:LME983159 LWA983061:LWA983159 MFW983061:MFW983159 MPS983061:MPS983159 MZO983061:MZO983159 NJK983061:NJK983159 NTG983061:NTG983159 ODC983061:ODC983159 OMY983061:OMY983159 OWU983061:OWU983159 PGQ983061:PGQ983159 PQM983061:PQM983159 QAI983061:QAI983159 QKE983061:QKE983159 QUA983061:QUA983159 RDW983061:RDW983159 RNS983061:RNS983159 RXO983061:RXO983159 SHK983061:SHK983159 SRG983061:SRG983159 TBC983061:TBC983159 TKY983061:TKY983159 TUU983061:TUU983159 UEQ983061:UEQ983159 UOM983061:UOM983159 UYI983061:UYI983159 VIE983061:VIE983159 VSA983061:VSA983159 WBW983061:WBW983159 WLS983061:WLS983159 WVO983061:WVO983159">
      <formula1>$G$129:$G$130</formula1>
    </dataValidation>
    <dataValidation type="list" errorStyle="information" allowBlank="1" showErrorMessage="1" errorTitle="Issuance to Parent" error="Please input either:_x000a__x000a_Y = Yes_x000a_N = No" sqref="IY21:IY119 WVK983061:WVK983159 SU21:SU119 ACQ21:ACQ119 AMM21:AMM119 AWI21:AWI119 BGE21:BGE119 BQA21:BQA119 BZW21:BZW119 CJS21:CJS119 CTO21:CTO119 DDK21:DDK119 DNG21:DNG119 DXC21:DXC119 EGY21:EGY119 EQU21:EQU119 FAQ21:FAQ119 FKM21:FKM119 FUI21:FUI119 GEE21:GEE119 GOA21:GOA119 GXW21:GXW119 HHS21:HHS119 HRO21:HRO119 IBK21:IBK119 ILG21:ILG119 IVC21:IVC119 JEY21:JEY119 JOU21:JOU119 JYQ21:JYQ119 KIM21:KIM119 KSI21:KSI119 LCE21:LCE119 LMA21:LMA119 LVW21:LVW119 MFS21:MFS119 MPO21:MPO119 MZK21:MZK119 NJG21:NJG119 NTC21:NTC119 OCY21:OCY119 OMU21:OMU119 OWQ21:OWQ119 PGM21:PGM119 PQI21:PQI119 QAE21:QAE119 QKA21:QKA119 QTW21:QTW119 RDS21:RDS119 RNO21:RNO119 RXK21:RXK119 SHG21:SHG119 SRC21:SRC119 TAY21:TAY119 TKU21:TKU119 TUQ21:TUQ119 UEM21:UEM119 UOI21:UOI119 UYE21:UYE119 VIA21:VIA119 VRW21:VRW119 WBS21:WBS119 WLO21:WLO119 WVK21:WVK119 G65556:H65654 IY65557:IY65655 SU65557:SU65655 ACQ65557:ACQ65655 AMM65557:AMM65655 AWI65557:AWI65655 BGE65557:BGE65655 BQA65557:BQA65655 BZW65557:BZW65655 CJS65557:CJS65655 CTO65557:CTO65655 DDK65557:DDK65655 DNG65557:DNG65655 DXC65557:DXC65655 EGY65557:EGY65655 EQU65557:EQU65655 FAQ65557:FAQ65655 FKM65557:FKM65655 FUI65557:FUI65655 GEE65557:GEE65655 GOA65557:GOA65655 GXW65557:GXW65655 HHS65557:HHS65655 HRO65557:HRO65655 IBK65557:IBK65655 ILG65557:ILG65655 IVC65557:IVC65655 JEY65557:JEY65655 JOU65557:JOU65655 JYQ65557:JYQ65655 KIM65557:KIM65655 KSI65557:KSI65655 LCE65557:LCE65655 LMA65557:LMA65655 LVW65557:LVW65655 MFS65557:MFS65655 MPO65557:MPO65655 MZK65557:MZK65655 NJG65557:NJG65655 NTC65557:NTC65655 OCY65557:OCY65655 OMU65557:OMU65655 OWQ65557:OWQ65655 PGM65557:PGM65655 PQI65557:PQI65655 QAE65557:QAE65655 QKA65557:QKA65655 QTW65557:QTW65655 RDS65557:RDS65655 RNO65557:RNO65655 RXK65557:RXK65655 SHG65557:SHG65655 SRC65557:SRC65655 TAY65557:TAY65655 TKU65557:TKU65655 TUQ65557:TUQ65655 UEM65557:UEM65655 UOI65557:UOI65655 UYE65557:UYE65655 VIA65557:VIA65655 VRW65557:VRW65655 WBS65557:WBS65655 WLO65557:WLO65655 WVK65557:WVK65655 G131092:H131190 IY131093:IY131191 SU131093:SU131191 ACQ131093:ACQ131191 AMM131093:AMM131191 AWI131093:AWI131191 BGE131093:BGE131191 BQA131093:BQA131191 BZW131093:BZW131191 CJS131093:CJS131191 CTO131093:CTO131191 DDK131093:DDK131191 DNG131093:DNG131191 DXC131093:DXC131191 EGY131093:EGY131191 EQU131093:EQU131191 FAQ131093:FAQ131191 FKM131093:FKM131191 FUI131093:FUI131191 GEE131093:GEE131191 GOA131093:GOA131191 GXW131093:GXW131191 HHS131093:HHS131191 HRO131093:HRO131191 IBK131093:IBK131191 ILG131093:ILG131191 IVC131093:IVC131191 JEY131093:JEY131191 JOU131093:JOU131191 JYQ131093:JYQ131191 KIM131093:KIM131191 KSI131093:KSI131191 LCE131093:LCE131191 LMA131093:LMA131191 LVW131093:LVW131191 MFS131093:MFS131191 MPO131093:MPO131191 MZK131093:MZK131191 NJG131093:NJG131191 NTC131093:NTC131191 OCY131093:OCY131191 OMU131093:OMU131191 OWQ131093:OWQ131191 PGM131093:PGM131191 PQI131093:PQI131191 QAE131093:QAE131191 QKA131093:QKA131191 QTW131093:QTW131191 RDS131093:RDS131191 RNO131093:RNO131191 RXK131093:RXK131191 SHG131093:SHG131191 SRC131093:SRC131191 TAY131093:TAY131191 TKU131093:TKU131191 TUQ131093:TUQ131191 UEM131093:UEM131191 UOI131093:UOI131191 UYE131093:UYE131191 VIA131093:VIA131191 VRW131093:VRW131191 WBS131093:WBS131191 WLO131093:WLO131191 WVK131093:WVK131191 G196628:H196726 IY196629:IY196727 SU196629:SU196727 ACQ196629:ACQ196727 AMM196629:AMM196727 AWI196629:AWI196727 BGE196629:BGE196727 BQA196629:BQA196727 BZW196629:BZW196727 CJS196629:CJS196727 CTO196629:CTO196727 DDK196629:DDK196727 DNG196629:DNG196727 DXC196629:DXC196727 EGY196629:EGY196727 EQU196629:EQU196727 FAQ196629:FAQ196727 FKM196629:FKM196727 FUI196629:FUI196727 GEE196629:GEE196727 GOA196629:GOA196727 GXW196629:GXW196727 HHS196629:HHS196727 HRO196629:HRO196727 IBK196629:IBK196727 ILG196629:ILG196727 IVC196629:IVC196727 JEY196629:JEY196727 JOU196629:JOU196727 JYQ196629:JYQ196727 KIM196629:KIM196727 KSI196629:KSI196727 LCE196629:LCE196727 LMA196629:LMA196727 LVW196629:LVW196727 MFS196629:MFS196727 MPO196629:MPO196727 MZK196629:MZK196727 NJG196629:NJG196727 NTC196629:NTC196727 OCY196629:OCY196727 OMU196629:OMU196727 OWQ196629:OWQ196727 PGM196629:PGM196727 PQI196629:PQI196727 QAE196629:QAE196727 QKA196629:QKA196727 QTW196629:QTW196727 RDS196629:RDS196727 RNO196629:RNO196727 RXK196629:RXK196727 SHG196629:SHG196727 SRC196629:SRC196727 TAY196629:TAY196727 TKU196629:TKU196727 TUQ196629:TUQ196727 UEM196629:UEM196727 UOI196629:UOI196727 UYE196629:UYE196727 VIA196629:VIA196727 VRW196629:VRW196727 WBS196629:WBS196727 WLO196629:WLO196727 WVK196629:WVK196727 G262164:H262262 IY262165:IY262263 SU262165:SU262263 ACQ262165:ACQ262263 AMM262165:AMM262263 AWI262165:AWI262263 BGE262165:BGE262263 BQA262165:BQA262263 BZW262165:BZW262263 CJS262165:CJS262263 CTO262165:CTO262263 DDK262165:DDK262263 DNG262165:DNG262263 DXC262165:DXC262263 EGY262165:EGY262263 EQU262165:EQU262263 FAQ262165:FAQ262263 FKM262165:FKM262263 FUI262165:FUI262263 GEE262165:GEE262263 GOA262165:GOA262263 GXW262165:GXW262263 HHS262165:HHS262263 HRO262165:HRO262263 IBK262165:IBK262263 ILG262165:ILG262263 IVC262165:IVC262263 JEY262165:JEY262263 JOU262165:JOU262263 JYQ262165:JYQ262263 KIM262165:KIM262263 KSI262165:KSI262263 LCE262165:LCE262263 LMA262165:LMA262263 LVW262165:LVW262263 MFS262165:MFS262263 MPO262165:MPO262263 MZK262165:MZK262263 NJG262165:NJG262263 NTC262165:NTC262263 OCY262165:OCY262263 OMU262165:OMU262263 OWQ262165:OWQ262263 PGM262165:PGM262263 PQI262165:PQI262263 QAE262165:QAE262263 QKA262165:QKA262263 QTW262165:QTW262263 RDS262165:RDS262263 RNO262165:RNO262263 RXK262165:RXK262263 SHG262165:SHG262263 SRC262165:SRC262263 TAY262165:TAY262263 TKU262165:TKU262263 TUQ262165:TUQ262263 UEM262165:UEM262263 UOI262165:UOI262263 UYE262165:UYE262263 VIA262165:VIA262263 VRW262165:VRW262263 WBS262165:WBS262263 WLO262165:WLO262263 WVK262165:WVK262263 G327700:H327798 IY327701:IY327799 SU327701:SU327799 ACQ327701:ACQ327799 AMM327701:AMM327799 AWI327701:AWI327799 BGE327701:BGE327799 BQA327701:BQA327799 BZW327701:BZW327799 CJS327701:CJS327799 CTO327701:CTO327799 DDK327701:DDK327799 DNG327701:DNG327799 DXC327701:DXC327799 EGY327701:EGY327799 EQU327701:EQU327799 FAQ327701:FAQ327799 FKM327701:FKM327799 FUI327701:FUI327799 GEE327701:GEE327799 GOA327701:GOA327799 GXW327701:GXW327799 HHS327701:HHS327799 HRO327701:HRO327799 IBK327701:IBK327799 ILG327701:ILG327799 IVC327701:IVC327799 JEY327701:JEY327799 JOU327701:JOU327799 JYQ327701:JYQ327799 KIM327701:KIM327799 KSI327701:KSI327799 LCE327701:LCE327799 LMA327701:LMA327799 LVW327701:LVW327799 MFS327701:MFS327799 MPO327701:MPO327799 MZK327701:MZK327799 NJG327701:NJG327799 NTC327701:NTC327799 OCY327701:OCY327799 OMU327701:OMU327799 OWQ327701:OWQ327799 PGM327701:PGM327799 PQI327701:PQI327799 QAE327701:QAE327799 QKA327701:QKA327799 QTW327701:QTW327799 RDS327701:RDS327799 RNO327701:RNO327799 RXK327701:RXK327799 SHG327701:SHG327799 SRC327701:SRC327799 TAY327701:TAY327799 TKU327701:TKU327799 TUQ327701:TUQ327799 UEM327701:UEM327799 UOI327701:UOI327799 UYE327701:UYE327799 VIA327701:VIA327799 VRW327701:VRW327799 WBS327701:WBS327799 WLO327701:WLO327799 WVK327701:WVK327799 G393236:H393334 IY393237:IY393335 SU393237:SU393335 ACQ393237:ACQ393335 AMM393237:AMM393335 AWI393237:AWI393335 BGE393237:BGE393335 BQA393237:BQA393335 BZW393237:BZW393335 CJS393237:CJS393335 CTO393237:CTO393335 DDK393237:DDK393335 DNG393237:DNG393335 DXC393237:DXC393335 EGY393237:EGY393335 EQU393237:EQU393335 FAQ393237:FAQ393335 FKM393237:FKM393335 FUI393237:FUI393335 GEE393237:GEE393335 GOA393237:GOA393335 GXW393237:GXW393335 HHS393237:HHS393335 HRO393237:HRO393335 IBK393237:IBK393335 ILG393237:ILG393335 IVC393237:IVC393335 JEY393237:JEY393335 JOU393237:JOU393335 JYQ393237:JYQ393335 KIM393237:KIM393335 KSI393237:KSI393335 LCE393237:LCE393335 LMA393237:LMA393335 LVW393237:LVW393335 MFS393237:MFS393335 MPO393237:MPO393335 MZK393237:MZK393335 NJG393237:NJG393335 NTC393237:NTC393335 OCY393237:OCY393335 OMU393237:OMU393335 OWQ393237:OWQ393335 PGM393237:PGM393335 PQI393237:PQI393335 QAE393237:QAE393335 QKA393237:QKA393335 QTW393237:QTW393335 RDS393237:RDS393335 RNO393237:RNO393335 RXK393237:RXK393335 SHG393237:SHG393335 SRC393237:SRC393335 TAY393237:TAY393335 TKU393237:TKU393335 TUQ393237:TUQ393335 UEM393237:UEM393335 UOI393237:UOI393335 UYE393237:UYE393335 VIA393237:VIA393335 VRW393237:VRW393335 WBS393237:WBS393335 WLO393237:WLO393335 WVK393237:WVK393335 G458772:H458870 IY458773:IY458871 SU458773:SU458871 ACQ458773:ACQ458871 AMM458773:AMM458871 AWI458773:AWI458871 BGE458773:BGE458871 BQA458773:BQA458871 BZW458773:BZW458871 CJS458773:CJS458871 CTO458773:CTO458871 DDK458773:DDK458871 DNG458773:DNG458871 DXC458773:DXC458871 EGY458773:EGY458871 EQU458773:EQU458871 FAQ458773:FAQ458871 FKM458773:FKM458871 FUI458773:FUI458871 GEE458773:GEE458871 GOA458773:GOA458871 GXW458773:GXW458871 HHS458773:HHS458871 HRO458773:HRO458871 IBK458773:IBK458871 ILG458773:ILG458871 IVC458773:IVC458871 JEY458773:JEY458871 JOU458773:JOU458871 JYQ458773:JYQ458871 KIM458773:KIM458871 KSI458773:KSI458871 LCE458773:LCE458871 LMA458773:LMA458871 LVW458773:LVW458871 MFS458773:MFS458871 MPO458773:MPO458871 MZK458773:MZK458871 NJG458773:NJG458871 NTC458773:NTC458871 OCY458773:OCY458871 OMU458773:OMU458871 OWQ458773:OWQ458871 PGM458773:PGM458871 PQI458773:PQI458871 QAE458773:QAE458871 QKA458773:QKA458871 QTW458773:QTW458871 RDS458773:RDS458871 RNO458773:RNO458871 RXK458773:RXK458871 SHG458773:SHG458871 SRC458773:SRC458871 TAY458773:TAY458871 TKU458773:TKU458871 TUQ458773:TUQ458871 UEM458773:UEM458871 UOI458773:UOI458871 UYE458773:UYE458871 VIA458773:VIA458871 VRW458773:VRW458871 WBS458773:WBS458871 WLO458773:WLO458871 WVK458773:WVK458871 G524308:H524406 IY524309:IY524407 SU524309:SU524407 ACQ524309:ACQ524407 AMM524309:AMM524407 AWI524309:AWI524407 BGE524309:BGE524407 BQA524309:BQA524407 BZW524309:BZW524407 CJS524309:CJS524407 CTO524309:CTO524407 DDK524309:DDK524407 DNG524309:DNG524407 DXC524309:DXC524407 EGY524309:EGY524407 EQU524309:EQU524407 FAQ524309:FAQ524407 FKM524309:FKM524407 FUI524309:FUI524407 GEE524309:GEE524407 GOA524309:GOA524407 GXW524309:GXW524407 HHS524309:HHS524407 HRO524309:HRO524407 IBK524309:IBK524407 ILG524309:ILG524407 IVC524309:IVC524407 JEY524309:JEY524407 JOU524309:JOU524407 JYQ524309:JYQ524407 KIM524309:KIM524407 KSI524309:KSI524407 LCE524309:LCE524407 LMA524309:LMA524407 LVW524309:LVW524407 MFS524309:MFS524407 MPO524309:MPO524407 MZK524309:MZK524407 NJG524309:NJG524407 NTC524309:NTC524407 OCY524309:OCY524407 OMU524309:OMU524407 OWQ524309:OWQ524407 PGM524309:PGM524407 PQI524309:PQI524407 QAE524309:QAE524407 QKA524309:QKA524407 QTW524309:QTW524407 RDS524309:RDS524407 RNO524309:RNO524407 RXK524309:RXK524407 SHG524309:SHG524407 SRC524309:SRC524407 TAY524309:TAY524407 TKU524309:TKU524407 TUQ524309:TUQ524407 UEM524309:UEM524407 UOI524309:UOI524407 UYE524309:UYE524407 VIA524309:VIA524407 VRW524309:VRW524407 WBS524309:WBS524407 WLO524309:WLO524407 WVK524309:WVK524407 G589844:H589942 IY589845:IY589943 SU589845:SU589943 ACQ589845:ACQ589943 AMM589845:AMM589943 AWI589845:AWI589943 BGE589845:BGE589943 BQA589845:BQA589943 BZW589845:BZW589943 CJS589845:CJS589943 CTO589845:CTO589943 DDK589845:DDK589943 DNG589845:DNG589943 DXC589845:DXC589943 EGY589845:EGY589943 EQU589845:EQU589943 FAQ589845:FAQ589943 FKM589845:FKM589943 FUI589845:FUI589943 GEE589845:GEE589943 GOA589845:GOA589943 GXW589845:GXW589943 HHS589845:HHS589943 HRO589845:HRO589943 IBK589845:IBK589943 ILG589845:ILG589943 IVC589845:IVC589943 JEY589845:JEY589943 JOU589845:JOU589943 JYQ589845:JYQ589943 KIM589845:KIM589943 KSI589845:KSI589943 LCE589845:LCE589943 LMA589845:LMA589943 LVW589845:LVW589943 MFS589845:MFS589943 MPO589845:MPO589943 MZK589845:MZK589943 NJG589845:NJG589943 NTC589845:NTC589943 OCY589845:OCY589943 OMU589845:OMU589943 OWQ589845:OWQ589943 PGM589845:PGM589943 PQI589845:PQI589943 QAE589845:QAE589943 QKA589845:QKA589943 QTW589845:QTW589943 RDS589845:RDS589943 RNO589845:RNO589943 RXK589845:RXK589943 SHG589845:SHG589943 SRC589845:SRC589943 TAY589845:TAY589943 TKU589845:TKU589943 TUQ589845:TUQ589943 UEM589845:UEM589943 UOI589845:UOI589943 UYE589845:UYE589943 VIA589845:VIA589943 VRW589845:VRW589943 WBS589845:WBS589943 WLO589845:WLO589943 WVK589845:WVK589943 G655380:H655478 IY655381:IY655479 SU655381:SU655479 ACQ655381:ACQ655479 AMM655381:AMM655479 AWI655381:AWI655479 BGE655381:BGE655479 BQA655381:BQA655479 BZW655381:BZW655479 CJS655381:CJS655479 CTO655381:CTO655479 DDK655381:DDK655479 DNG655381:DNG655479 DXC655381:DXC655479 EGY655381:EGY655479 EQU655381:EQU655479 FAQ655381:FAQ655479 FKM655381:FKM655479 FUI655381:FUI655479 GEE655381:GEE655479 GOA655381:GOA655479 GXW655381:GXW655479 HHS655381:HHS655479 HRO655381:HRO655479 IBK655381:IBK655479 ILG655381:ILG655479 IVC655381:IVC655479 JEY655381:JEY655479 JOU655381:JOU655479 JYQ655381:JYQ655479 KIM655381:KIM655479 KSI655381:KSI655479 LCE655381:LCE655479 LMA655381:LMA655479 LVW655381:LVW655479 MFS655381:MFS655479 MPO655381:MPO655479 MZK655381:MZK655479 NJG655381:NJG655479 NTC655381:NTC655479 OCY655381:OCY655479 OMU655381:OMU655479 OWQ655381:OWQ655479 PGM655381:PGM655479 PQI655381:PQI655479 QAE655381:QAE655479 QKA655381:QKA655479 QTW655381:QTW655479 RDS655381:RDS655479 RNO655381:RNO655479 RXK655381:RXK655479 SHG655381:SHG655479 SRC655381:SRC655479 TAY655381:TAY655479 TKU655381:TKU655479 TUQ655381:TUQ655479 UEM655381:UEM655479 UOI655381:UOI655479 UYE655381:UYE655479 VIA655381:VIA655479 VRW655381:VRW655479 WBS655381:WBS655479 WLO655381:WLO655479 WVK655381:WVK655479 G720916:H721014 IY720917:IY721015 SU720917:SU721015 ACQ720917:ACQ721015 AMM720917:AMM721015 AWI720917:AWI721015 BGE720917:BGE721015 BQA720917:BQA721015 BZW720917:BZW721015 CJS720917:CJS721015 CTO720917:CTO721015 DDK720917:DDK721015 DNG720917:DNG721015 DXC720917:DXC721015 EGY720917:EGY721015 EQU720917:EQU721015 FAQ720917:FAQ721015 FKM720917:FKM721015 FUI720917:FUI721015 GEE720917:GEE721015 GOA720917:GOA721015 GXW720917:GXW721015 HHS720917:HHS721015 HRO720917:HRO721015 IBK720917:IBK721015 ILG720917:ILG721015 IVC720917:IVC721015 JEY720917:JEY721015 JOU720917:JOU721015 JYQ720917:JYQ721015 KIM720917:KIM721015 KSI720917:KSI721015 LCE720917:LCE721015 LMA720917:LMA721015 LVW720917:LVW721015 MFS720917:MFS721015 MPO720917:MPO721015 MZK720917:MZK721015 NJG720917:NJG721015 NTC720917:NTC721015 OCY720917:OCY721015 OMU720917:OMU721015 OWQ720917:OWQ721015 PGM720917:PGM721015 PQI720917:PQI721015 QAE720917:QAE721015 QKA720917:QKA721015 QTW720917:QTW721015 RDS720917:RDS721015 RNO720917:RNO721015 RXK720917:RXK721015 SHG720917:SHG721015 SRC720917:SRC721015 TAY720917:TAY721015 TKU720917:TKU721015 TUQ720917:TUQ721015 UEM720917:UEM721015 UOI720917:UOI721015 UYE720917:UYE721015 VIA720917:VIA721015 VRW720917:VRW721015 WBS720917:WBS721015 WLO720917:WLO721015 WVK720917:WVK721015 G786452:H786550 IY786453:IY786551 SU786453:SU786551 ACQ786453:ACQ786551 AMM786453:AMM786551 AWI786453:AWI786551 BGE786453:BGE786551 BQA786453:BQA786551 BZW786453:BZW786551 CJS786453:CJS786551 CTO786453:CTO786551 DDK786453:DDK786551 DNG786453:DNG786551 DXC786453:DXC786551 EGY786453:EGY786551 EQU786453:EQU786551 FAQ786453:FAQ786551 FKM786453:FKM786551 FUI786453:FUI786551 GEE786453:GEE786551 GOA786453:GOA786551 GXW786453:GXW786551 HHS786453:HHS786551 HRO786453:HRO786551 IBK786453:IBK786551 ILG786453:ILG786551 IVC786453:IVC786551 JEY786453:JEY786551 JOU786453:JOU786551 JYQ786453:JYQ786551 KIM786453:KIM786551 KSI786453:KSI786551 LCE786453:LCE786551 LMA786453:LMA786551 LVW786453:LVW786551 MFS786453:MFS786551 MPO786453:MPO786551 MZK786453:MZK786551 NJG786453:NJG786551 NTC786453:NTC786551 OCY786453:OCY786551 OMU786453:OMU786551 OWQ786453:OWQ786551 PGM786453:PGM786551 PQI786453:PQI786551 QAE786453:QAE786551 QKA786453:QKA786551 QTW786453:QTW786551 RDS786453:RDS786551 RNO786453:RNO786551 RXK786453:RXK786551 SHG786453:SHG786551 SRC786453:SRC786551 TAY786453:TAY786551 TKU786453:TKU786551 TUQ786453:TUQ786551 UEM786453:UEM786551 UOI786453:UOI786551 UYE786453:UYE786551 VIA786453:VIA786551 VRW786453:VRW786551 WBS786453:WBS786551 WLO786453:WLO786551 WVK786453:WVK786551 G851988:H852086 IY851989:IY852087 SU851989:SU852087 ACQ851989:ACQ852087 AMM851989:AMM852087 AWI851989:AWI852087 BGE851989:BGE852087 BQA851989:BQA852087 BZW851989:BZW852087 CJS851989:CJS852087 CTO851989:CTO852087 DDK851989:DDK852087 DNG851989:DNG852087 DXC851989:DXC852087 EGY851989:EGY852087 EQU851989:EQU852087 FAQ851989:FAQ852087 FKM851989:FKM852087 FUI851989:FUI852087 GEE851989:GEE852087 GOA851989:GOA852087 GXW851989:GXW852087 HHS851989:HHS852087 HRO851989:HRO852087 IBK851989:IBK852087 ILG851989:ILG852087 IVC851989:IVC852087 JEY851989:JEY852087 JOU851989:JOU852087 JYQ851989:JYQ852087 KIM851989:KIM852087 KSI851989:KSI852087 LCE851989:LCE852087 LMA851989:LMA852087 LVW851989:LVW852087 MFS851989:MFS852087 MPO851989:MPO852087 MZK851989:MZK852087 NJG851989:NJG852087 NTC851989:NTC852087 OCY851989:OCY852087 OMU851989:OMU852087 OWQ851989:OWQ852087 PGM851989:PGM852087 PQI851989:PQI852087 QAE851989:QAE852087 QKA851989:QKA852087 QTW851989:QTW852087 RDS851989:RDS852087 RNO851989:RNO852087 RXK851989:RXK852087 SHG851989:SHG852087 SRC851989:SRC852087 TAY851989:TAY852087 TKU851989:TKU852087 TUQ851989:TUQ852087 UEM851989:UEM852087 UOI851989:UOI852087 UYE851989:UYE852087 VIA851989:VIA852087 VRW851989:VRW852087 WBS851989:WBS852087 WLO851989:WLO852087 WVK851989:WVK852087 G917524:H917622 IY917525:IY917623 SU917525:SU917623 ACQ917525:ACQ917623 AMM917525:AMM917623 AWI917525:AWI917623 BGE917525:BGE917623 BQA917525:BQA917623 BZW917525:BZW917623 CJS917525:CJS917623 CTO917525:CTO917623 DDK917525:DDK917623 DNG917525:DNG917623 DXC917525:DXC917623 EGY917525:EGY917623 EQU917525:EQU917623 FAQ917525:FAQ917623 FKM917525:FKM917623 FUI917525:FUI917623 GEE917525:GEE917623 GOA917525:GOA917623 GXW917525:GXW917623 HHS917525:HHS917623 HRO917525:HRO917623 IBK917525:IBK917623 ILG917525:ILG917623 IVC917525:IVC917623 JEY917525:JEY917623 JOU917525:JOU917623 JYQ917525:JYQ917623 KIM917525:KIM917623 KSI917525:KSI917623 LCE917525:LCE917623 LMA917525:LMA917623 LVW917525:LVW917623 MFS917525:MFS917623 MPO917525:MPO917623 MZK917525:MZK917623 NJG917525:NJG917623 NTC917525:NTC917623 OCY917525:OCY917623 OMU917525:OMU917623 OWQ917525:OWQ917623 PGM917525:PGM917623 PQI917525:PQI917623 QAE917525:QAE917623 QKA917525:QKA917623 QTW917525:QTW917623 RDS917525:RDS917623 RNO917525:RNO917623 RXK917525:RXK917623 SHG917525:SHG917623 SRC917525:SRC917623 TAY917525:TAY917623 TKU917525:TKU917623 TUQ917525:TUQ917623 UEM917525:UEM917623 UOI917525:UOI917623 UYE917525:UYE917623 VIA917525:VIA917623 VRW917525:VRW917623 WBS917525:WBS917623 WLO917525:WLO917623 WVK917525:WVK917623 G983060:H983158 IY983061:IY983159 SU983061:SU983159 ACQ983061:ACQ983159 AMM983061:AMM983159 AWI983061:AWI983159 BGE983061:BGE983159 BQA983061:BQA983159 BZW983061:BZW983159 CJS983061:CJS983159 CTO983061:CTO983159 DDK983061:DDK983159 DNG983061:DNG983159 DXC983061:DXC983159 EGY983061:EGY983159 EQU983061:EQU983159 FAQ983061:FAQ983159 FKM983061:FKM983159 FUI983061:FUI983159 GEE983061:GEE983159 GOA983061:GOA983159 GXW983061:GXW983159 HHS983061:HHS983159 HRO983061:HRO983159 IBK983061:IBK983159 ILG983061:ILG983159 IVC983061:IVC983159 JEY983061:JEY983159 JOU983061:JOU983159 JYQ983061:JYQ983159 KIM983061:KIM983159 KSI983061:KSI983159 LCE983061:LCE983159 LMA983061:LMA983159 LVW983061:LVW983159 MFS983061:MFS983159 MPO983061:MPO983159 MZK983061:MZK983159 NJG983061:NJG983159 NTC983061:NTC983159 OCY983061:OCY983159 OMU983061:OMU983159 OWQ983061:OWQ983159 PGM983061:PGM983159 PQI983061:PQI983159 QAE983061:QAE983159 QKA983061:QKA983159 QTW983061:QTW983159 RDS983061:RDS983159 RNO983061:RNO983159 RXK983061:RXK983159 SHG983061:SHG983159 SRC983061:SRC983159 TAY983061:TAY983159 TKU983061:TKU983159 TUQ983061:TUQ983159 UEM983061:UEM983159 UOI983061:UOI983159 UYE983061:UYE983159 VIA983061:VIA983159 VRW983061:VRW983159 WBS983061:WBS983159 WLO983061:WLO983159">
      <formula1>$G$129:$G$130</formula1>
    </dataValidation>
    <dataValidation type="list" errorStyle="warning" allowBlank="1" showErrorMessage="1" errorTitle="Y or N" error="Input either:_x000a__x000a_Y = Yes_x000a_N = No" promptTitle="Y or N" prompt="Input either:_x000a__x000a_Y = Yes_x000a_N = No" sqref="JF21:JG119 TB21:TC119 ACX21:ACY119 AMT21:AMU119 AWP21:AWQ119 BGL21:BGM119 BQH21:BQI119 CAD21:CAE119 CJZ21:CKA119 CTV21:CTW119 DDR21:DDS119 DNN21:DNO119 DXJ21:DXK119 EHF21:EHG119 ERB21:ERC119 FAX21:FAY119 FKT21:FKU119 FUP21:FUQ119 GEL21:GEM119 GOH21:GOI119 GYD21:GYE119 HHZ21:HIA119 HRV21:HRW119 IBR21:IBS119 ILN21:ILO119 IVJ21:IVK119 JFF21:JFG119 JPB21:JPC119 JYX21:JYY119 KIT21:KIU119 KSP21:KSQ119 LCL21:LCM119 LMH21:LMI119 LWD21:LWE119 MFZ21:MGA119 MPV21:MPW119 MZR21:MZS119 NJN21:NJO119 NTJ21:NTK119 ODF21:ODG119 ONB21:ONC119 OWX21:OWY119 PGT21:PGU119 PQP21:PQQ119 QAL21:QAM119 QKH21:QKI119 QUD21:QUE119 RDZ21:REA119 RNV21:RNW119 RXR21:RXS119 SHN21:SHO119 SRJ21:SRK119 TBF21:TBG119 TLB21:TLC119 TUX21:TUY119 UET21:UEU119 UOP21:UOQ119 UYL21:UYM119 VIH21:VII119 VSD21:VSE119 WBZ21:WCA119 WLV21:WLW119 WVR21:WVS119 JF65557:JG65655 TB65557:TC65655 ACX65557:ACY65655 AMT65557:AMU65655 AWP65557:AWQ65655 BGL65557:BGM65655 BQH65557:BQI65655 CAD65557:CAE65655 CJZ65557:CKA65655 CTV65557:CTW65655 DDR65557:DDS65655 DNN65557:DNO65655 DXJ65557:DXK65655 EHF65557:EHG65655 ERB65557:ERC65655 FAX65557:FAY65655 FKT65557:FKU65655 FUP65557:FUQ65655 GEL65557:GEM65655 GOH65557:GOI65655 GYD65557:GYE65655 HHZ65557:HIA65655 HRV65557:HRW65655 IBR65557:IBS65655 ILN65557:ILO65655 IVJ65557:IVK65655 JFF65557:JFG65655 JPB65557:JPC65655 JYX65557:JYY65655 KIT65557:KIU65655 KSP65557:KSQ65655 LCL65557:LCM65655 LMH65557:LMI65655 LWD65557:LWE65655 MFZ65557:MGA65655 MPV65557:MPW65655 MZR65557:MZS65655 NJN65557:NJO65655 NTJ65557:NTK65655 ODF65557:ODG65655 ONB65557:ONC65655 OWX65557:OWY65655 PGT65557:PGU65655 PQP65557:PQQ65655 QAL65557:QAM65655 QKH65557:QKI65655 QUD65557:QUE65655 RDZ65557:REA65655 RNV65557:RNW65655 RXR65557:RXS65655 SHN65557:SHO65655 SRJ65557:SRK65655 TBF65557:TBG65655 TLB65557:TLC65655 TUX65557:TUY65655 UET65557:UEU65655 UOP65557:UOQ65655 UYL65557:UYM65655 VIH65557:VII65655 VSD65557:VSE65655 WBZ65557:WCA65655 WLV65557:WLW65655 WVR65557:WVS65655 JF131093:JG131191 TB131093:TC131191 ACX131093:ACY131191 AMT131093:AMU131191 AWP131093:AWQ131191 BGL131093:BGM131191 BQH131093:BQI131191 CAD131093:CAE131191 CJZ131093:CKA131191 CTV131093:CTW131191 DDR131093:DDS131191 DNN131093:DNO131191 DXJ131093:DXK131191 EHF131093:EHG131191 ERB131093:ERC131191 FAX131093:FAY131191 FKT131093:FKU131191 FUP131093:FUQ131191 GEL131093:GEM131191 GOH131093:GOI131191 GYD131093:GYE131191 HHZ131093:HIA131191 HRV131093:HRW131191 IBR131093:IBS131191 ILN131093:ILO131191 IVJ131093:IVK131191 JFF131093:JFG131191 JPB131093:JPC131191 JYX131093:JYY131191 KIT131093:KIU131191 KSP131093:KSQ131191 LCL131093:LCM131191 LMH131093:LMI131191 LWD131093:LWE131191 MFZ131093:MGA131191 MPV131093:MPW131191 MZR131093:MZS131191 NJN131093:NJO131191 NTJ131093:NTK131191 ODF131093:ODG131191 ONB131093:ONC131191 OWX131093:OWY131191 PGT131093:PGU131191 PQP131093:PQQ131191 QAL131093:QAM131191 QKH131093:QKI131191 QUD131093:QUE131191 RDZ131093:REA131191 RNV131093:RNW131191 RXR131093:RXS131191 SHN131093:SHO131191 SRJ131093:SRK131191 TBF131093:TBG131191 TLB131093:TLC131191 TUX131093:TUY131191 UET131093:UEU131191 UOP131093:UOQ131191 UYL131093:UYM131191 VIH131093:VII131191 VSD131093:VSE131191 WBZ131093:WCA131191 WLV131093:WLW131191 WVR131093:WVS131191 JF196629:JG196727 TB196629:TC196727 ACX196629:ACY196727 AMT196629:AMU196727 AWP196629:AWQ196727 BGL196629:BGM196727 BQH196629:BQI196727 CAD196629:CAE196727 CJZ196629:CKA196727 CTV196629:CTW196727 DDR196629:DDS196727 DNN196629:DNO196727 DXJ196629:DXK196727 EHF196629:EHG196727 ERB196629:ERC196727 FAX196629:FAY196727 FKT196629:FKU196727 FUP196629:FUQ196727 GEL196629:GEM196727 GOH196629:GOI196727 GYD196629:GYE196727 HHZ196629:HIA196727 HRV196629:HRW196727 IBR196629:IBS196727 ILN196629:ILO196727 IVJ196629:IVK196727 JFF196629:JFG196727 JPB196629:JPC196727 JYX196629:JYY196727 KIT196629:KIU196727 KSP196629:KSQ196727 LCL196629:LCM196727 LMH196629:LMI196727 LWD196629:LWE196727 MFZ196629:MGA196727 MPV196629:MPW196727 MZR196629:MZS196727 NJN196629:NJO196727 NTJ196629:NTK196727 ODF196629:ODG196727 ONB196629:ONC196727 OWX196629:OWY196727 PGT196629:PGU196727 PQP196629:PQQ196727 QAL196629:QAM196727 QKH196629:QKI196727 QUD196629:QUE196727 RDZ196629:REA196727 RNV196629:RNW196727 RXR196629:RXS196727 SHN196629:SHO196727 SRJ196629:SRK196727 TBF196629:TBG196727 TLB196629:TLC196727 TUX196629:TUY196727 UET196629:UEU196727 UOP196629:UOQ196727 UYL196629:UYM196727 VIH196629:VII196727 VSD196629:VSE196727 WBZ196629:WCA196727 WLV196629:WLW196727 WVR196629:WVS196727 JF262165:JG262263 TB262165:TC262263 ACX262165:ACY262263 AMT262165:AMU262263 AWP262165:AWQ262263 BGL262165:BGM262263 BQH262165:BQI262263 CAD262165:CAE262263 CJZ262165:CKA262263 CTV262165:CTW262263 DDR262165:DDS262263 DNN262165:DNO262263 DXJ262165:DXK262263 EHF262165:EHG262263 ERB262165:ERC262263 FAX262165:FAY262263 FKT262165:FKU262263 FUP262165:FUQ262263 GEL262165:GEM262263 GOH262165:GOI262263 GYD262165:GYE262263 HHZ262165:HIA262263 HRV262165:HRW262263 IBR262165:IBS262263 ILN262165:ILO262263 IVJ262165:IVK262263 JFF262165:JFG262263 JPB262165:JPC262263 JYX262165:JYY262263 KIT262165:KIU262263 KSP262165:KSQ262263 LCL262165:LCM262263 LMH262165:LMI262263 LWD262165:LWE262263 MFZ262165:MGA262263 MPV262165:MPW262263 MZR262165:MZS262263 NJN262165:NJO262263 NTJ262165:NTK262263 ODF262165:ODG262263 ONB262165:ONC262263 OWX262165:OWY262263 PGT262165:PGU262263 PQP262165:PQQ262263 QAL262165:QAM262263 QKH262165:QKI262263 QUD262165:QUE262263 RDZ262165:REA262263 RNV262165:RNW262263 RXR262165:RXS262263 SHN262165:SHO262263 SRJ262165:SRK262263 TBF262165:TBG262263 TLB262165:TLC262263 TUX262165:TUY262263 UET262165:UEU262263 UOP262165:UOQ262263 UYL262165:UYM262263 VIH262165:VII262263 VSD262165:VSE262263 WBZ262165:WCA262263 WLV262165:WLW262263 WVR262165:WVS262263 JF327701:JG327799 TB327701:TC327799 ACX327701:ACY327799 AMT327701:AMU327799 AWP327701:AWQ327799 BGL327701:BGM327799 BQH327701:BQI327799 CAD327701:CAE327799 CJZ327701:CKA327799 CTV327701:CTW327799 DDR327701:DDS327799 DNN327701:DNO327799 DXJ327701:DXK327799 EHF327701:EHG327799 ERB327701:ERC327799 FAX327701:FAY327799 FKT327701:FKU327799 FUP327701:FUQ327799 GEL327701:GEM327799 GOH327701:GOI327799 GYD327701:GYE327799 HHZ327701:HIA327799 HRV327701:HRW327799 IBR327701:IBS327799 ILN327701:ILO327799 IVJ327701:IVK327799 JFF327701:JFG327799 JPB327701:JPC327799 JYX327701:JYY327799 KIT327701:KIU327799 KSP327701:KSQ327799 LCL327701:LCM327799 LMH327701:LMI327799 LWD327701:LWE327799 MFZ327701:MGA327799 MPV327701:MPW327799 MZR327701:MZS327799 NJN327701:NJO327799 NTJ327701:NTK327799 ODF327701:ODG327799 ONB327701:ONC327799 OWX327701:OWY327799 PGT327701:PGU327799 PQP327701:PQQ327799 QAL327701:QAM327799 QKH327701:QKI327799 QUD327701:QUE327799 RDZ327701:REA327799 RNV327701:RNW327799 RXR327701:RXS327799 SHN327701:SHO327799 SRJ327701:SRK327799 TBF327701:TBG327799 TLB327701:TLC327799 TUX327701:TUY327799 UET327701:UEU327799 UOP327701:UOQ327799 UYL327701:UYM327799 VIH327701:VII327799 VSD327701:VSE327799 WBZ327701:WCA327799 WLV327701:WLW327799 WVR327701:WVS327799 JF393237:JG393335 TB393237:TC393335 ACX393237:ACY393335 AMT393237:AMU393335 AWP393237:AWQ393335 BGL393237:BGM393335 BQH393237:BQI393335 CAD393237:CAE393335 CJZ393237:CKA393335 CTV393237:CTW393335 DDR393237:DDS393335 DNN393237:DNO393335 DXJ393237:DXK393335 EHF393237:EHG393335 ERB393237:ERC393335 FAX393237:FAY393335 FKT393237:FKU393335 FUP393237:FUQ393335 GEL393237:GEM393335 GOH393237:GOI393335 GYD393237:GYE393335 HHZ393237:HIA393335 HRV393237:HRW393335 IBR393237:IBS393335 ILN393237:ILO393335 IVJ393237:IVK393335 JFF393237:JFG393335 JPB393237:JPC393335 JYX393237:JYY393335 KIT393237:KIU393335 KSP393237:KSQ393335 LCL393237:LCM393335 LMH393237:LMI393335 LWD393237:LWE393335 MFZ393237:MGA393335 MPV393237:MPW393335 MZR393237:MZS393335 NJN393237:NJO393335 NTJ393237:NTK393335 ODF393237:ODG393335 ONB393237:ONC393335 OWX393237:OWY393335 PGT393237:PGU393335 PQP393237:PQQ393335 QAL393237:QAM393335 QKH393237:QKI393335 QUD393237:QUE393335 RDZ393237:REA393335 RNV393237:RNW393335 RXR393237:RXS393335 SHN393237:SHO393335 SRJ393237:SRK393335 TBF393237:TBG393335 TLB393237:TLC393335 TUX393237:TUY393335 UET393237:UEU393335 UOP393237:UOQ393335 UYL393237:UYM393335 VIH393237:VII393335 VSD393237:VSE393335 WBZ393237:WCA393335 WLV393237:WLW393335 WVR393237:WVS393335 JF458773:JG458871 TB458773:TC458871 ACX458773:ACY458871 AMT458773:AMU458871 AWP458773:AWQ458871 BGL458773:BGM458871 BQH458773:BQI458871 CAD458773:CAE458871 CJZ458773:CKA458871 CTV458773:CTW458871 DDR458773:DDS458871 DNN458773:DNO458871 DXJ458773:DXK458871 EHF458773:EHG458871 ERB458773:ERC458871 FAX458773:FAY458871 FKT458773:FKU458871 FUP458773:FUQ458871 GEL458773:GEM458871 GOH458773:GOI458871 GYD458773:GYE458871 HHZ458773:HIA458871 HRV458773:HRW458871 IBR458773:IBS458871 ILN458773:ILO458871 IVJ458773:IVK458871 JFF458773:JFG458871 JPB458773:JPC458871 JYX458773:JYY458871 KIT458773:KIU458871 KSP458773:KSQ458871 LCL458773:LCM458871 LMH458773:LMI458871 LWD458773:LWE458871 MFZ458773:MGA458871 MPV458773:MPW458871 MZR458773:MZS458871 NJN458773:NJO458871 NTJ458773:NTK458871 ODF458773:ODG458871 ONB458773:ONC458871 OWX458773:OWY458871 PGT458773:PGU458871 PQP458773:PQQ458871 QAL458773:QAM458871 QKH458773:QKI458871 QUD458773:QUE458871 RDZ458773:REA458871 RNV458773:RNW458871 RXR458773:RXS458871 SHN458773:SHO458871 SRJ458773:SRK458871 TBF458773:TBG458871 TLB458773:TLC458871 TUX458773:TUY458871 UET458773:UEU458871 UOP458773:UOQ458871 UYL458773:UYM458871 VIH458773:VII458871 VSD458773:VSE458871 WBZ458773:WCA458871 WLV458773:WLW458871 WVR458773:WVS458871 JF524309:JG524407 TB524309:TC524407 ACX524309:ACY524407 AMT524309:AMU524407 AWP524309:AWQ524407 BGL524309:BGM524407 BQH524309:BQI524407 CAD524309:CAE524407 CJZ524309:CKA524407 CTV524309:CTW524407 DDR524309:DDS524407 DNN524309:DNO524407 DXJ524309:DXK524407 EHF524309:EHG524407 ERB524309:ERC524407 FAX524309:FAY524407 FKT524309:FKU524407 FUP524309:FUQ524407 GEL524309:GEM524407 GOH524309:GOI524407 GYD524309:GYE524407 HHZ524309:HIA524407 HRV524309:HRW524407 IBR524309:IBS524407 ILN524309:ILO524407 IVJ524309:IVK524407 JFF524309:JFG524407 JPB524309:JPC524407 JYX524309:JYY524407 KIT524309:KIU524407 KSP524309:KSQ524407 LCL524309:LCM524407 LMH524309:LMI524407 LWD524309:LWE524407 MFZ524309:MGA524407 MPV524309:MPW524407 MZR524309:MZS524407 NJN524309:NJO524407 NTJ524309:NTK524407 ODF524309:ODG524407 ONB524309:ONC524407 OWX524309:OWY524407 PGT524309:PGU524407 PQP524309:PQQ524407 QAL524309:QAM524407 QKH524309:QKI524407 QUD524309:QUE524407 RDZ524309:REA524407 RNV524309:RNW524407 RXR524309:RXS524407 SHN524309:SHO524407 SRJ524309:SRK524407 TBF524309:TBG524407 TLB524309:TLC524407 TUX524309:TUY524407 UET524309:UEU524407 UOP524309:UOQ524407 UYL524309:UYM524407 VIH524309:VII524407 VSD524309:VSE524407 WBZ524309:WCA524407 WLV524309:WLW524407 WVR524309:WVS524407 JF589845:JG589943 TB589845:TC589943 ACX589845:ACY589943 AMT589845:AMU589943 AWP589845:AWQ589943 BGL589845:BGM589943 BQH589845:BQI589943 CAD589845:CAE589943 CJZ589845:CKA589943 CTV589845:CTW589943 DDR589845:DDS589943 DNN589845:DNO589943 DXJ589845:DXK589943 EHF589845:EHG589943 ERB589845:ERC589943 FAX589845:FAY589943 FKT589845:FKU589943 FUP589845:FUQ589943 GEL589845:GEM589943 GOH589845:GOI589943 GYD589845:GYE589943 HHZ589845:HIA589943 HRV589845:HRW589943 IBR589845:IBS589943 ILN589845:ILO589943 IVJ589845:IVK589943 JFF589845:JFG589943 JPB589845:JPC589943 JYX589845:JYY589943 KIT589845:KIU589943 KSP589845:KSQ589943 LCL589845:LCM589943 LMH589845:LMI589943 LWD589845:LWE589943 MFZ589845:MGA589943 MPV589845:MPW589943 MZR589845:MZS589943 NJN589845:NJO589943 NTJ589845:NTK589943 ODF589845:ODG589943 ONB589845:ONC589943 OWX589845:OWY589943 PGT589845:PGU589943 PQP589845:PQQ589943 QAL589845:QAM589943 QKH589845:QKI589943 QUD589845:QUE589943 RDZ589845:REA589943 RNV589845:RNW589943 RXR589845:RXS589943 SHN589845:SHO589943 SRJ589845:SRK589943 TBF589845:TBG589943 TLB589845:TLC589943 TUX589845:TUY589943 UET589845:UEU589943 UOP589845:UOQ589943 UYL589845:UYM589943 VIH589845:VII589943 VSD589845:VSE589943 WBZ589845:WCA589943 WLV589845:WLW589943 WVR589845:WVS589943 JF655381:JG655479 TB655381:TC655479 ACX655381:ACY655479 AMT655381:AMU655479 AWP655381:AWQ655479 BGL655381:BGM655479 BQH655381:BQI655479 CAD655381:CAE655479 CJZ655381:CKA655479 CTV655381:CTW655479 DDR655381:DDS655479 DNN655381:DNO655479 DXJ655381:DXK655479 EHF655381:EHG655479 ERB655381:ERC655479 FAX655381:FAY655479 FKT655381:FKU655479 FUP655381:FUQ655479 GEL655381:GEM655479 GOH655381:GOI655479 GYD655381:GYE655479 HHZ655381:HIA655479 HRV655381:HRW655479 IBR655381:IBS655479 ILN655381:ILO655479 IVJ655381:IVK655479 JFF655381:JFG655479 JPB655381:JPC655479 JYX655381:JYY655479 KIT655381:KIU655479 KSP655381:KSQ655479 LCL655381:LCM655479 LMH655381:LMI655479 LWD655381:LWE655479 MFZ655381:MGA655479 MPV655381:MPW655479 MZR655381:MZS655479 NJN655381:NJO655479 NTJ655381:NTK655479 ODF655381:ODG655479 ONB655381:ONC655479 OWX655381:OWY655479 PGT655381:PGU655479 PQP655381:PQQ655479 QAL655381:QAM655479 QKH655381:QKI655479 QUD655381:QUE655479 RDZ655381:REA655479 RNV655381:RNW655479 RXR655381:RXS655479 SHN655381:SHO655479 SRJ655381:SRK655479 TBF655381:TBG655479 TLB655381:TLC655479 TUX655381:TUY655479 UET655381:UEU655479 UOP655381:UOQ655479 UYL655381:UYM655479 VIH655381:VII655479 VSD655381:VSE655479 WBZ655381:WCA655479 WLV655381:WLW655479 WVR655381:WVS655479 JF720917:JG721015 TB720917:TC721015 ACX720917:ACY721015 AMT720917:AMU721015 AWP720917:AWQ721015 BGL720917:BGM721015 BQH720917:BQI721015 CAD720917:CAE721015 CJZ720917:CKA721015 CTV720917:CTW721015 DDR720917:DDS721015 DNN720917:DNO721015 DXJ720917:DXK721015 EHF720917:EHG721015 ERB720917:ERC721015 FAX720917:FAY721015 FKT720917:FKU721015 FUP720917:FUQ721015 GEL720917:GEM721015 GOH720917:GOI721015 GYD720917:GYE721015 HHZ720917:HIA721015 HRV720917:HRW721015 IBR720917:IBS721015 ILN720917:ILO721015 IVJ720917:IVK721015 JFF720917:JFG721015 JPB720917:JPC721015 JYX720917:JYY721015 KIT720917:KIU721015 KSP720917:KSQ721015 LCL720917:LCM721015 LMH720917:LMI721015 LWD720917:LWE721015 MFZ720917:MGA721015 MPV720917:MPW721015 MZR720917:MZS721015 NJN720917:NJO721015 NTJ720917:NTK721015 ODF720917:ODG721015 ONB720917:ONC721015 OWX720917:OWY721015 PGT720917:PGU721015 PQP720917:PQQ721015 QAL720917:QAM721015 QKH720917:QKI721015 QUD720917:QUE721015 RDZ720917:REA721015 RNV720917:RNW721015 RXR720917:RXS721015 SHN720917:SHO721015 SRJ720917:SRK721015 TBF720917:TBG721015 TLB720917:TLC721015 TUX720917:TUY721015 UET720917:UEU721015 UOP720917:UOQ721015 UYL720917:UYM721015 VIH720917:VII721015 VSD720917:VSE721015 WBZ720917:WCA721015 WLV720917:WLW721015 WVR720917:WVS721015 JF786453:JG786551 TB786453:TC786551 ACX786453:ACY786551 AMT786453:AMU786551 AWP786453:AWQ786551 BGL786453:BGM786551 BQH786453:BQI786551 CAD786453:CAE786551 CJZ786453:CKA786551 CTV786453:CTW786551 DDR786453:DDS786551 DNN786453:DNO786551 DXJ786453:DXK786551 EHF786453:EHG786551 ERB786453:ERC786551 FAX786453:FAY786551 FKT786453:FKU786551 FUP786453:FUQ786551 GEL786453:GEM786551 GOH786453:GOI786551 GYD786453:GYE786551 HHZ786453:HIA786551 HRV786453:HRW786551 IBR786453:IBS786551 ILN786453:ILO786551 IVJ786453:IVK786551 JFF786453:JFG786551 JPB786453:JPC786551 JYX786453:JYY786551 KIT786453:KIU786551 KSP786453:KSQ786551 LCL786453:LCM786551 LMH786453:LMI786551 LWD786453:LWE786551 MFZ786453:MGA786551 MPV786453:MPW786551 MZR786453:MZS786551 NJN786453:NJO786551 NTJ786453:NTK786551 ODF786453:ODG786551 ONB786453:ONC786551 OWX786453:OWY786551 PGT786453:PGU786551 PQP786453:PQQ786551 QAL786453:QAM786551 QKH786453:QKI786551 QUD786453:QUE786551 RDZ786453:REA786551 RNV786453:RNW786551 RXR786453:RXS786551 SHN786453:SHO786551 SRJ786453:SRK786551 TBF786453:TBG786551 TLB786453:TLC786551 TUX786453:TUY786551 UET786453:UEU786551 UOP786453:UOQ786551 UYL786453:UYM786551 VIH786453:VII786551 VSD786453:VSE786551 WBZ786453:WCA786551 WLV786453:WLW786551 WVR786453:WVS786551 JF851989:JG852087 TB851989:TC852087 ACX851989:ACY852087 AMT851989:AMU852087 AWP851989:AWQ852087 BGL851989:BGM852087 BQH851989:BQI852087 CAD851989:CAE852087 CJZ851989:CKA852087 CTV851989:CTW852087 DDR851989:DDS852087 DNN851989:DNO852087 DXJ851989:DXK852087 EHF851989:EHG852087 ERB851989:ERC852087 FAX851989:FAY852087 FKT851989:FKU852087 FUP851989:FUQ852087 GEL851989:GEM852087 GOH851989:GOI852087 GYD851989:GYE852087 HHZ851989:HIA852087 HRV851989:HRW852087 IBR851989:IBS852087 ILN851989:ILO852087 IVJ851989:IVK852087 JFF851989:JFG852087 JPB851989:JPC852087 JYX851989:JYY852087 KIT851989:KIU852087 KSP851989:KSQ852087 LCL851989:LCM852087 LMH851989:LMI852087 LWD851989:LWE852087 MFZ851989:MGA852087 MPV851989:MPW852087 MZR851989:MZS852087 NJN851989:NJO852087 NTJ851989:NTK852087 ODF851989:ODG852087 ONB851989:ONC852087 OWX851989:OWY852087 PGT851989:PGU852087 PQP851989:PQQ852087 QAL851989:QAM852087 QKH851989:QKI852087 QUD851989:QUE852087 RDZ851989:REA852087 RNV851989:RNW852087 RXR851989:RXS852087 SHN851989:SHO852087 SRJ851989:SRK852087 TBF851989:TBG852087 TLB851989:TLC852087 TUX851989:TUY852087 UET851989:UEU852087 UOP851989:UOQ852087 UYL851989:UYM852087 VIH851989:VII852087 VSD851989:VSE852087 WBZ851989:WCA852087 WLV851989:WLW852087 WVR851989:WVS852087 JF917525:JG917623 TB917525:TC917623 ACX917525:ACY917623 AMT917525:AMU917623 AWP917525:AWQ917623 BGL917525:BGM917623 BQH917525:BQI917623 CAD917525:CAE917623 CJZ917525:CKA917623 CTV917525:CTW917623 DDR917525:DDS917623 DNN917525:DNO917623 DXJ917525:DXK917623 EHF917525:EHG917623 ERB917525:ERC917623 FAX917525:FAY917623 FKT917525:FKU917623 FUP917525:FUQ917623 GEL917525:GEM917623 GOH917525:GOI917623 GYD917525:GYE917623 HHZ917525:HIA917623 HRV917525:HRW917623 IBR917525:IBS917623 ILN917525:ILO917623 IVJ917525:IVK917623 JFF917525:JFG917623 JPB917525:JPC917623 JYX917525:JYY917623 KIT917525:KIU917623 KSP917525:KSQ917623 LCL917525:LCM917623 LMH917525:LMI917623 LWD917525:LWE917623 MFZ917525:MGA917623 MPV917525:MPW917623 MZR917525:MZS917623 NJN917525:NJO917623 NTJ917525:NTK917623 ODF917525:ODG917623 ONB917525:ONC917623 OWX917525:OWY917623 PGT917525:PGU917623 PQP917525:PQQ917623 QAL917525:QAM917623 QKH917525:QKI917623 QUD917525:QUE917623 RDZ917525:REA917623 RNV917525:RNW917623 RXR917525:RXS917623 SHN917525:SHO917623 SRJ917525:SRK917623 TBF917525:TBG917623 TLB917525:TLC917623 TUX917525:TUY917623 UET917525:UEU917623 UOP917525:UOQ917623 UYL917525:UYM917623 VIH917525:VII917623 VSD917525:VSE917623 WBZ917525:WCA917623 WLV917525:WLW917623 WVR917525:WVS917623 JF983061:JG983159 TB983061:TC983159 ACX983061:ACY983159 AMT983061:AMU983159 AWP983061:AWQ983159 BGL983061:BGM983159 BQH983061:BQI983159 CAD983061:CAE983159 CJZ983061:CKA983159 CTV983061:CTW983159 DDR983061:DDS983159 DNN983061:DNO983159 DXJ983061:DXK983159 EHF983061:EHG983159 ERB983061:ERC983159 FAX983061:FAY983159 FKT983061:FKU983159 FUP983061:FUQ983159 GEL983061:GEM983159 GOH983061:GOI983159 GYD983061:GYE983159 HHZ983061:HIA983159 HRV983061:HRW983159 IBR983061:IBS983159 ILN983061:ILO983159 IVJ983061:IVK983159 JFF983061:JFG983159 JPB983061:JPC983159 JYX983061:JYY983159 KIT983061:KIU983159 KSP983061:KSQ983159 LCL983061:LCM983159 LMH983061:LMI983159 LWD983061:LWE983159 MFZ983061:MGA983159 MPV983061:MPW983159 MZR983061:MZS983159 NJN983061:NJO983159 NTJ983061:NTK983159 ODF983061:ODG983159 ONB983061:ONC983159 OWX983061:OWY983159 PGT983061:PGU983159 PQP983061:PQQ983159 QAL983061:QAM983159 QKH983061:QKI983159 QUD983061:QUE983159 RDZ983061:REA983159 RNV983061:RNW983159 RXR983061:RXS983159 SHN983061:SHO983159 SRJ983061:SRK983159 TBF983061:TBG983159 TLB983061:TLC983159 TUX983061:TUY983159 UET983061:UEU983159 UOP983061:UOQ983159 UYL983061:UYM983159 VIH983061:VII983159 VSD983061:VSE983159 WBZ983061:WCA983159 WLV983061:WLW983159 WVR983061:WVS983159 JH21 TD21 ACZ21 AMV21 AWR21 BGN21 BQJ21 CAF21 CKB21 CTX21 DDT21 DNP21 DXL21 EHH21 ERD21 FAZ21 FKV21 FUR21 GEN21 GOJ21 GYF21 HIB21 HRX21 IBT21 ILP21 IVL21 JFH21 JPD21 JYZ21 KIV21 KSR21 LCN21 LMJ21 LWF21 MGB21 MPX21 MZT21 NJP21 NTL21 ODH21 OND21 OWZ21 PGV21 PQR21 QAN21 QKJ21 QUF21 REB21 RNX21 RXT21 SHP21 SRL21 TBH21 TLD21 TUZ21 UEV21 UOR21 UYN21 VIJ21 VSF21 WCB21 WLX21 WVT21 JH65557 TD65557 ACZ65557 AMV65557 AWR65557 BGN65557 BQJ65557 CAF65557 CKB65557 CTX65557 DDT65557 DNP65557 DXL65557 EHH65557 ERD65557 FAZ65557 FKV65557 FUR65557 GEN65557 GOJ65557 GYF65557 HIB65557 HRX65557 IBT65557 ILP65557 IVL65557 JFH65557 JPD65557 JYZ65557 KIV65557 KSR65557 LCN65557 LMJ65557 LWF65557 MGB65557 MPX65557 MZT65557 NJP65557 NTL65557 ODH65557 OND65557 OWZ65557 PGV65557 PQR65557 QAN65557 QKJ65557 QUF65557 REB65557 RNX65557 RXT65557 SHP65557 SRL65557 TBH65557 TLD65557 TUZ65557 UEV65557 UOR65557 UYN65557 VIJ65557 VSF65557 WCB65557 WLX65557 WVT65557 JH131093 TD131093 ACZ131093 AMV131093 AWR131093 BGN131093 BQJ131093 CAF131093 CKB131093 CTX131093 DDT131093 DNP131093 DXL131093 EHH131093 ERD131093 FAZ131093 FKV131093 FUR131093 GEN131093 GOJ131093 GYF131093 HIB131093 HRX131093 IBT131093 ILP131093 IVL131093 JFH131093 JPD131093 JYZ131093 KIV131093 KSR131093 LCN131093 LMJ131093 LWF131093 MGB131093 MPX131093 MZT131093 NJP131093 NTL131093 ODH131093 OND131093 OWZ131093 PGV131093 PQR131093 QAN131093 QKJ131093 QUF131093 REB131093 RNX131093 RXT131093 SHP131093 SRL131093 TBH131093 TLD131093 TUZ131093 UEV131093 UOR131093 UYN131093 VIJ131093 VSF131093 WCB131093 WLX131093 WVT131093 JH196629 TD196629 ACZ196629 AMV196629 AWR196629 BGN196629 BQJ196629 CAF196629 CKB196629 CTX196629 DDT196629 DNP196629 DXL196629 EHH196629 ERD196629 FAZ196629 FKV196629 FUR196629 GEN196629 GOJ196629 GYF196629 HIB196629 HRX196629 IBT196629 ILP196629 IVL196629 JFH196629 JPD196629 JYZ196629 KIV196629 KSR196629 LCN196629 LMJ196629 LWF196629 MGB196629 MPX196629 MZT196629 NJP196629 NTL196629 ODH196629 OND196629 OWZ196629 PGV196629 PQR196629 QAN196629 QKJ196629 QUF196629 REB196629 RNX196629 RXT196629 SHP196629 SRL196629 TBH196629 TLD196629 TUZ196629 UEV196629 UOR196629 UYN196629 VIJ196629 VSF196629 WCB196629 WLX196629 WVT196629 JH262165 TD262165 ACZ262165 AMV262165 AWR262165 BGN262165 BQJ262165 CAF262165 CKB262165 CTX262165 DDT262165 DNP262165 DXL262165 EHH262165 ERD262165 FAZ262165 FKV262165 FUR262165 GEN262165 GOJ262165 GYF262165 HIB262165 HRX262165 IBT262165 ILP262165 IVL262165 JFH262165 JPD262165 JYZ262165 KIV262165 KSR262165 LCN262165 LMJ262165 LWF262165 MGB262165 MPX262165 MZT262165 NJP262165 NTL262165 ODH262165 OND262165 OWZ262165 PGV262165 PQR262165 QAN262165 QKJ262165 QUF262165 REB262165 RNX262165 RXT262165 SHP262165 SRL262165 TBH262165 TLD262165 TUZ262165 UEV262165 UOR262165 UYN262165 VIJ262165 VSF262165 WCB262165 WLX262165 WVT262165 JH327701 TD327701 ACZ327701 AMV327701 AWR327701 BGN327701 BQJ327701 CAF327701 CKB327701 CTX327701 DDT327701 DNP327701 DXL327701 EHH327701 ERD327701 FAZ327701 FKV327701 FUR327701 GEN327701 GOJ327701 GYF327701 HIB327701 HRX327701 IBT327701 ILP327701 IVL327701 JFH327701 JPD327701 JYZ327701 KIV327701 KSR327701 LCN327701 LMJ327701 LWF327701 MGB327701 MPX327701 MZT327701 NJP327701 NTL327701 ODH327701 OND327701 OWZ327701 PGV327701 PQR327701 QAN327701 QKJ327701 QUF327701 REB327701 RNX327701 RXT327701 SHP327701 SRL327701 TBH327701 TLD327701 TUZ327701 UEV327701 UOR327701 UYN327701 VIJ327701 VSF327701 WCB327701 WLX327701 WVT327701 JH393237 TD393237 ACZ393237 AMV393237 AWR393237 BGN393237 BQJ393237 CAF393237 CKB393237 CTX393237 DDT393237 DNP393237 DXL393237 EHH393237 ERD393237 FAZ393237 FKV393237 FUR393237 GEN393237 GOJ393237 GYF393237 HIB393237 HRX393237 IBT393237 ILP393237 IVL393237 JFH393237 JPD393237 JYZ393237 KIV393237 KSR393237 LCN393237 LMJ393237 LWF393237 MGB393237 MPX393237 MZT393237 NJP393237 NTL393237 ODH393237 OND393237 OWZ393237 PGV393237 PQR393237 QAN393237 QKJ393237 QUF393237 REB393237 RNX393237 RXT393237 SHP393237 SRL393237 TBH393237 TLD393237 TUZ393237 UEV393237 UOR393237 UYN393237 VIJ393237 VSF393237 WCB393237 WLX393237 WVT393237 JH458773 TD458773 ACZ458773 AMV458773 AWR458773 BGN458773 BQJ458773 CAF458773 CKB458773 CTX458773 DDT458773 DNP458773 DXL458773 EHH458773 ERD458773 FAZ458773 FKV458773 FUR458773 GEN458773 GOJ458773 GYF458773 HIB458773 HRX458773 IBT458773 ILP458773 IVL458773 JFH458773 JPD458773 JYZ458773 KIV458773 KSR458773 LCN458773 LMJ458773 LWF458773 MGB458773 MPX458773 MZT458773 NJP458773 NTL458773 ODH458773 OND458773 OWZ458773 PGV458773 PQR458773 QAN458773 QKJ458773 QUF458773 REB458773 RNX458773 RXT458773 SHP458773 SRL458773 TBH458773 TLD458773 TUZ458773 UEV458773 UOR458773 UYN458773 VIJ458773 VSF458773 WCB458773 WLX458773 WVT458773 JH524309 TD524309 ACZ524309 AMV524309 AWR524309 BGN524309 BQJ524309 CAF524309 CKB524309 CTX524309 DDT524309 DNP524309 DXL524309 EHH524309 ERD524309 FAZ524309 FKV524309 FUR524309 GEN524309 GOJ524309 GYF524309 HIB524309 HRX524309 IBT524309 ILP524309 IVL524309 JFH524309 JPD524309 JYZ524309 KIV524309 KSR524309 LCN524309 LMJ524309 LWF524309 MGB524309 MPX524309 MZT524309 NJP524309 NTL524309 ODH524309 OND524309 OWZ524309 PGV524309 PQR524309 QAN524309 QKJ524309 QUF524309 REB524309 RNX524309 RXT524309 SHP524309 SRL524309 TBH524309 TLD524309 TUZ524309 UEV524309 UOR524309 UYN524309 VIJ524309 VSF524309 WCB524309 WLX524309 WVT524309 JH589845 TD589845 ACZ589845 AMV589845 AWR589845 BGN589845 BQJ589845 CAF589845 CKB589845 CTX589845 DDT589845 DNP589845 DXL589845 EHH589845 ERD589845 FAZ589845 FKV589845 FUR589845 GEN589845 GOJ589845 GYF589845 HIB589845 HRX589845 IBT589845 ILP589845 IVL589845 JFH589845 JPD589845 JYZ589845 KIV589845 KSR589845 LCN589845 LMJ589845 LWF589845 MGB589845 MPX589845 MZT589845 NJP589845 NTL589845 ODH589845 OND589845 OWZ589845 PGV589845 PQR589845 QAN589845 QKJ589845 QUF589845 REB589845 RNX589845 RXT589845 SHP589845 SRL589845 TBH589845 TLD589845 TUZ589845 UEV589845 UOR589845 UYN589845 VIJ589845 VSF589845 WCB589845 WLX589845 WVT589845 JH655381 TD655381 ACZ655381 AMV655381 AWR655381 BGN655381 BQJ655381 CAF655381 CKB655381 CTX655381 DDT655381 DNP655381 DXL655381 EHH655381 ERD655381 FAZ655381 FKV655381 FUR655381 GEN655381 GOJ655381 GYF655381 HIB655381 HRX655381 IBT655381 ILP655381 IVL655381 JFH655381 JPD655381 JYZ655381 KIV655381 KSR655381 LCN655381 LMJ655381 LWF655381 MGB655381 MPX655381 MZT655381 NJP655381 NTL655381 ODH655381 OND655381 OWZ655381 PGV655381 PQR655381 QAN655381 QKJ655381 QUF655381 REB655381 RNX655381 RXT655381 SHP655381 SRL655381 TBH655381 TLD655381 TUZ655381 UEV655381 UOR655381 UYN655381 VIJ655381 VSF655381 WCB655381 WLX655381 WVT655381 JH720917 TD720917 ACZ720917 AMV720917 AWR720917 BGN720917 BQJ720917 CAF720917 CKB720917 CTX720917 DDT720917 DNP720917 DXL720917 EHH720917 ERD720917 FAZ720917 FKV720917 FUR720917 GEN720917 GOJ720917 GYF720917 HIB720917 HRX720917 IBT720917 ILP720917 IVL720917 JFH720917 JPD720917 JYZ720917 KIV720917 KSR720917 LCN720917 LMJ720917 LWF720917 MGB720917 MPX720917 MZT720917 NJP720917 NTL720917 ODH720917 OND720917 OWZ720917 PGV720917 PQR720917 QAN720917 QKJ720917 QUF720917 REB720917 RNX720917 RXT720917 SHP720917 SRL720917 TBH720917 TLD720917 TUZ720917 UEV720917 UOR720917 UYN720917 VIJ720917 VSF720917 WCB720917 WLX720917 WVT720917 JH786453 TD786453 ACZ786453 AMV786453 AWR786453 BGN786453 BQJ786453 CAF786453 CKB786453 CTX786453 DDT786453 DNP786453 DXL786453 EHH786453 ERD786453 FAZ786453 FKV786453 FUR786453 GEN786453 GOJ786453 GYF786453 HIB786453 HRX786453 IBT786453 ILP786453 IVL786453 JFH786453 JPD786453 JYZ786453 KIV786453 KSR786453 LCN786453 LMJ786453 LWF786453 MGB786453 MPX786453 MZT786453 NJP786453 NTL786453 ODH786453 OND786453 OWZ786453 PGV786453 PQR786453 QAN786453 QKJ786453 QUF786453 REB786453 RNX786453 RXT786453 SHP786453 SRL786453 TBH786453 TLD786453 TUZ786453 UEV786453 UOR786453 UYN786453 VIJ786453 VSF786453 WCB786453 WLX786453 WVT786453 JH851989 TD851989 ACZ851989 AMV851989 AWR851989 BGN851989 BQJ851989 CAF851989 CKB851989 CTX851989 DDT851989 DNP851989 DXL851989 EHH851989 ERD851989 FAZ851989 FKV851989 FUR851989 GEN851989 GOJ851989 GYF851989 HIB851989 HRX851989 IBT851989 ILP851989 IVL851989 JFH851989 JPD851989 JYZ851989 KIV851989 KSR851989 LCN851989 LMJ851989 LWF851989 MGB851989 MPX851989 MZT851989 NJP851989 NTL851989 ODH851989 OND851989 OWZ851989 PGV851989 PQR851989 QAN851989 QKJ851989 QUF851989 REB851989 RNX851989 RXT851989 SHP851989 SRL851989 TBH851989 TLD851989 TUZ851989 UEV851989 UOR851989 UYN851989 VIJ851989 VSF851989 WCB851989 WLX851989 WVT851989 JH917525 TD917525 ACZ917525 AMV917525 AWR917525 BGN917525 BQJ917525 CAF917525 CKB917525 CTX917525 DDT917525 DNP917525 DXL917525 EHH917525 ERD917525 FAZ917525 FKV917525 FUR917525 GEN917525 GOJ917525 GYF917525 HIB917525 HRX917525 IBT917525 ILP917525 IVL917525 JFH917525 JPD917525 JYZ917525 KIV917525 KSR917525 LCN917525 LMJ917525 LWF917525 MGB917525 MPX917525 MZT917525 NJP917525 NTL917525 ODH917525 OND917525 OWZ917525 PGV917525 PQR917525 QAN917525 QKJ917525 QUF917525 REB917525 RNX917525 RXT917525 SHP917525 SRL917525 TBH917525 TLD917525 TUZ917525 UEV917525 UOR917525 UYN917525 VIJ917525 VSF917525 WCB917525 WLX917525 WVT917525 JH983061 TD983061 ACZ983061 AMV983061 AWR983061 BGN983061 BQJ983061 CAF983061 CKB983061 CTX983061 DDT983061 DNP983061 DXL983061 EHH983061 ERD983061 FAZ983061 FKV983061 FUR983061 GEN983061 GOJ983061 GYF983061 HIB983061 HRX983061 IBT983061 ILP983061 IVL983061 JFH983061 JPD983061 JYZ983061 KIV983061 KSR983061 LCN983061 LMJ983061 LWF983061 MGB983061 MPX983061 MZT983061 NJP983061 NTL983061 ODH983061 OND983061 OWZ983061 PGV983061 PQR983061 QAN983061 QKJ983061 QUF983061 REB983061 RNX983061 RXT983061 SHP983061 SRL983061 TBH983061 TLD983061 TUZ983061 UEV983061 UOR983061 UYN983061 VIJ983061 VSF983061 WCB983061 WLX983061 WVT983061 WVV983061 JJ21 TF21 ADB21 AMX21 AWT21 BGP21 BQL21 CAH21 CKD21 CTZ21 DDV21 DNR21 DXN21 EHJ21 ERF21 FBB21 FKX21 FUT21 GEP21 GOL21 GYH21 HID21 HRZ21 IBV21 ILR21 IVN21 JFJ21 JPF21 JZB21 KIX21 KST21 LCP21 LML21 LWH21 MGD21 MPZ21 MZV21 NJR21 NTN21 ODJ21 ONF21 OXB21 PGX21 PQT21 QAP21 QKL21 QUH21 RED21 RNZ21 RXV21 SHR21 SRN21 TBJ21 TLF21 TVB21 UEX21 UOT21 UYP21 VIL21 VSH21 WCD21 WLZ21 WVV21 I65557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I131093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I196629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I262165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I327701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I393237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I458773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I524309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I589845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I655381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I720917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I786453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I851989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I917525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I983061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formula1>$G$129:$G$130</formula1>
    </dataValidation>
    <dataValidation type="list" errorStyle="warning" allowBlank="1" showInputMessage="1" showErrorMessage="1" errorTitle="Conversion Result" error="Indicate if, as a result of conversion, the holder receives:_x000a__x000a_Shares - Com/Ord_x000a_Other" sqref="JI21:JI119 TE21:TE119 ADA21:ADA119 AMW21:AMW119 AWS21:AWS119 BGO21:BGO119 BQK21:BQK119 CAG21:CAG119 CKC21:CKC119 CTY21:CTY119 DDU21:DDU119 DNQ21:DNQ119 DXM21:DXM119 EHI21:EHI119 ERE21:ERE119 FBA21:FBA119 FKW21:FKW119 FUS21:FUS119 GEO21:GEO119 GOK21:GOK119 GYG21:GYG119 HIC21:HIC119 HRY21:HRY119 IBU21:IBU119 ILQ21:ILQ119 IVM21:IVM119 JFI21:JFI119 JPE21:JPE119 JZA21:JZA119 KIW21:KIW119 KSS21:KSS119 LCO21:LCO119 LMK21:LMK119 LWG21:LWG119 MGC21:MGC119 MPY21:MPY119 MZU21:MZU119 NJQ21:NJQ119 NTM21:NTM119 ODI21:ODI119 ONE21:ONE119 OXA21:OXA119 PGW21:PGW119 PQS21:PQS119 QAO21:QAO119 QKK21:QKK119 QUG21:QUG119 REC21:REC119 RNY21:RNY119 RXU21:RXU119 SHQ21:SHQ119 SRM21:SRM119 TBI21:TBI119 TLE21:TLE119 TVA21:TVA119 UEW21:UEW119 UOS21:UOS119 UYO21:UYO119 VIK21:VIK119 VSG21:VSG119 WCC21:WCC119 WLY21:WLY119 WVU21:WVU119 JI65557:JI65655 TE65557:TE65655 ADA65557:ADA65655 AMW65557:AMW65655 AWS65557:AWS65655 BGO65557:BGO65655 BQK65557:BQK65655 CAG65557:CAG65655 CKC65557:CKC65655 CTY65557:CTY65655 DDU65557:DDU65655 DNQ65557:DNQ65655 DXM65557:DXM65655 EHI65557:EHI65655 ERE65557:ERE65655 FBA65557:FBA65655 FKW65557:FKW65655 FUS65557:FUS65655 GEO65557:GEO65655 GOK65557:GOK65655 GYG65557:GYG65655 HIC65557:HIC65655 HRY65557:HRY65655 IBU65557:IBU65655 ILQ65557:ILQ65655 IVM65557:IVM65655 JFI65557:JFI65655 JPE65557:JPE65655 JZA65557:JZA65655 KIW65557:KIW65655 KSS65557:KSS65655 LCO65557:LCO65655 LMK65557:LMK65655 LWG65557:LWG65655 MGC65557:MGC65655 MPY65557:MPY65655 MZU65557:MZU65655 NJQ65557:NJQ65655 NTM65557:NTM65655 ODI65557:ODI65655 ONE65557:ONE65655 OXA65557:OXA65655 PGW65557:PGW65655 PQS65557:PQS65655 QAO65557:QAO65655 QKK65557:QKK65655 QUG65557:QUG65655 REC65557:REC65655 RNY65557:RNY65655 RXU65557:RXU65655 SHQ65557:SHQ65655 SRM65557:SRM65655 TBI65557:TBI65655 TLE65557:TLE65655 TVA65557:TVA65655 UEW65557:UEW65655 UOS65557:UOS65655 UYO65557:UYO65655 VIK65557:VIK65655 VSG65557:VSG65655 WCC65557:WCC65655 WLY65557:WLY65655 WVU65557:WVU65655 JI131093:JI131191 TE131093:TE131191 ADA131093:ADA131191 AMW131093:AMW131191 AWS131093:AWS131191 BGO131093:BGO131191 BQK131093:BQK131191 CAG131093:CAG131191 CKC131093:CKC131191 CTY131093:CTY131191 DDU131093:DDU131191 DNQ131093:DNQ131191 DXM131093:DXM131191 EHI131093:EHI131191 ERE131093:ERE131191 FBA131093:FBA131191 FKW131093:FKW131191 FUS131093:FUS131191 GEO131093:GEO131191 GOK131093:GOK131191 GYG131093:GYG131191 HIC131093:HIC131191 HRY131093:HRY131191 IBU131093:IBU131191 ILQ131093:ILQ131191 IVM131093:IVM131191 JFI131093:JFI131191 JPE131093:JPE131191 JZA131093:JZA131191 KIW131093:KIW131191 KSS131093:KSS131191 LCO131093:LCO131191 LMK131093:LMK131191 LWG131093:LWG131191 MGC131093:MGC131191 MPY131093:MPY131191 MZU131093:MZU131191 NJQ131093:NJQ131191 NTM131093:NTM131191 ODI131093:ODI131191 ONE131093:ONE131191 OXA131093:OXA131191 PGW131093:PGW131191 PQS131093:PQS131191 QAO131093:QAO131191 QKK131093:QKK131191 QUG131093:QUG131191 REC131093:REC131191 RNY131093:RNY131191 RXU131093:RXU131191 SHQ131093:SHQ131191 SRM131093:SRM131191 TBI131093:TBI131191 TLE131093:TLE131191 TVA131093:TVA131191 UEW131093:UEW131191 UOS131093:UOS131191 UYO131093:UYO131191 VIK131093:VIK131191 VSG131093:VSG131191 WCC131093:WCC131191 WLY131093:WLY131191 WVU131093:WVU131191 JI196629:JI196727 TE196629:TE196727 ADA196629:ADA196727 AMW196629:AMW196727 AWS196629:AWS196727 BGO196629:BGO196727 BQK196629:BQK196727 CAG196629:CAG196727 CKC196629:CKC196727 CTY196629:CTY196727 DDU196629:DDU196727 DNQ196629:DNQ196727 DXM196629:DXM196727 EHI196629:EHI196727 ERE196629:ERE196727 FBA196629:FBA196727 FKW196629:FKW196727 FUS196629:FUS196727 GEO196629:GEO196727 GOK196629:GOK196727 GYG196629:GYG196727 HIC196629:HIC196727 HRY196629:HRY196727 IBU196629:IBU196727 ILQ196629:ILQ196727 IVM196629:IVM196727 JFI196629:JFI196727 JPE196629:JPE196727 JZA196629:JZA196727 KIW196629:KIW196727 KSS196629:KSS196727 LCO196629:LCO196727 LMK196629:LMK196727 LWG196629:LWG196727 MGC196629:MGC196727 MPY196629:MPY196727 MZU196629:MZU196727 NJQ196629:NJQ196727 NTM196629:NTM196727 ODI196629:ODI196727 ONE196629:ONE196727 OXA196629:OXA196727 PGW196629:PGW196727 PQS196629:PQS196727 QAO196629:QAO196727 QKK196629:QKK196727 QUG196629:QUG196727 REC196629:REC196727 RNY196629:RNY196727 RXU196629:RXU196727 SHQ196629:SHQ196727 SRM196629:SRM196727 TBI196629:TBI196727 TLE196629:TLE196727 TVA196629:TVA196727 UEW196629:UEW196727 UOS196629:UOS196727 UYO196629:UYO196727 VIK196629:VIK196727 VSG196629:VSG196727 WCC196629:WCC196727 WLY196629:WLY196727 WVU196629:WVU196727 JI262165:JI262263 TE262165:TE262263 ADA262165:ADA262263 AMW262165:AMW262263 AWS262165:AWS262263 BGO262165:BGO262263 BQK262165:BQK262263 CAG262165:CAG262263 CKC262165:CKC262263 CTY262165:CTY262263 DDU262165:DDU262263 DNQ262165:DNQ262263 DXM262165:DXM262263 EHI262165:EHI262263 ERE262165:ERE262263 FBA262165:FBA262263 FKW262165:FKW262263 FUS262165:FUS262263 GEO262165:GEO262263 GOK262165:GOK262263 GYG262165:GYG262263 HIC262165:HIC262263 HRY262165:HRY262263 IBU262165:IBU262263 ILQ262165:ILQ262263 IVM262165:IVM262263 JFI262165:JFI262263 JPE262165:JPE262263 JZA262165:JZA262263 KIW262165:KIW262263 KSS262165:KSS262263 LCO262165:LCO262263 LMK262165:LMK262263 LWG262165:LWG262263 MGC262165:MGC262263 MPY262165:MPY262263 MZU262165:MZU262263 NJQ262165:NJQ262263 NTM262165:NTM262263 ODI262165:ODI262263 ONE262165:ONE262263 OXA262165:OXA262263 PGW262165:PGW262263 PQS262165:PQS262263 QAO262165:QAO262263 QKK262165:QKK262263 QUG262165:QUG262263 REC262165:REC262263 RNY262165:RNY262263 RXU262165:RXU262263 SHQ262165:SHQ262263 SRM262165:SRM262263 TBI262165:TBI262263 TLE262165:TLE262263 TVA262165:TVA262263 UEW262165:UEW262263 UOS262165:UOS262263 UYO262165:UYO262263 VIK262165:VIK262263 VSG262165:VSG262263 WCC262165:WCC262263 WLY262165:WLY262263 WVU262165:WVU262263 JI327701:JI327799 TE327701:TE327799 ADA327701:ADA327799 AMW327701:AMW327799 AWS327701:AWS327799 BGO327701:BGO327799 BQK327701:BQK327799 CAG327701:CAG327799 CKC327701:CKC327799 CTY327701:CTY327799 DDU327701:DDU327799 DNQ327701:DNQ327799 DXM327701:DXM327799 EHI327701:EHI327799 ERE327701:ERE327799 FBA327701:FBA327799 FKW327701:FKW327799 FUS327701:FUS327799 GEO327701:GEO327799 GOK327701:GOK327799 GYG327701:GYG327799 HIC327701:HIC327799 HRY327701:HRY327799 IBU327701:IBU327799 ILQ327701:ILQ327799 IVM327701:IVM327799 JFI327701:JFI327799 JPE327701:JPE327799 JZA327701:JZA327799 KIW327701:KIW327799 KSS327701:KSS327799 LCO327701:LCO327799 LMK327701:LMK327799 LWG327701:LWG327799 MGC327701:MGC327799 MPY327701:MPY327799 MZU327701:MZU327799 NJQ327701:NJQ327799 NTM327701:NTM327799 ODI327701:ODI327799 ONE327701:ONE327799 OXA327701:OXA327799 PGW327701:PGW327799 PQS327701:PQS327799 QAO327701:QAO327799 QKK327701:QKK327799 QUG327701:QUG327799 REC327701:REC327799 RNY327701:RNY327799 RXU327701:RXU327799 SHQ327701:SHQ327799 SRM327701:SRM327799 TBI327701:TBI327799 TLE327701:TLE327799 TVA327701:TVA327799 UEW327701:UEW327799 UOS327701:UOS327799 UYO327701:UYO327799 VIK327701:VIK327799 VSG327701:VSG327799 WCC327701:WCC327799 WLY327701:WLY327799 WVU327701:WVU327799 JI393237:JI393335 TE393237:TE393335 ADA393237:ADA393335 AMW393237:AMW393335 AWS393237:AWS393335 BGO393237:BGO393335 BQK393237:BQK393335 CAG393237:CAG393335 CKC393237:CKC393335 CTY393237:CTY393335 DDU393237:DDU393335 DNQ393237:DNQ393335 DXM393237:DXM393335 EHI393237:EHI393335 ERE393237:ERE393335 FBA393237:FBA393335 FKW393237:FKW393335 FUS393237:FUS393335 GEO393237:GEO393335 GOK393237:GOK393335 GYG393237:GYG393335 HIC393237:HIC393335 HRY393237:HRY393335 IBU393237:IBU393335 ILQ393237:ILQ393335 IVM393237:IVM393335 JFI393237:JFI393335 JPE393237:JPE393335 JZA393237:JZA393335 KIW393237:KIW393335 KSS393237:KSS393335 LCO393237:LCO393335 LMK393237:LMK393335 LWG393237:LWG393335 MGC393237:MGC393335 MPY393237:MPY393335 MZU393237:MZU393335 NJQ393237:NJQ393335 NTM393237:NTM393335 ODI393237:ODI393335 ONE393237:ONE393335 OXA393237:OXA393335 PGW393237:PGW393335 PQS393237:PQS393335 QAO393237:QAO393335 QKK393237:QKK393335 QUG393237:QUG393335 REC393237:REC393335 RNY393237:RNY393335 RXU393237:RXU393335 SHQ393237:SHQ393335 SRM393237:SRM393335 TBI393237:TBI393335 TLE393237:TLE393335 TVA393237:TVA393335 UEW393237:UEW393335 UOS393237:UOS393335 UYO393237:UYO393335 VIK393237:VIK393335 VSG393237:VSG393335 WCC393237:WCC393335 WLY393237:WLY393335 WVU393237:WVU393335 JI458773:JI458871 TE458773:TE458871 ADA458773:ADA458871 AMW458773:AMW458871 AWS458773:AWS458871 BGO458773:BGO458871 BQK458773:BQK458871 CAG458773:CAG458871 CKC458773:CKC458871 CTY458773:CTY458871 DDU458773:DDU458871 DNQ458773:DNQ458871 DXM458773:DXM458871 EHI458773:EHI458871 ERE458773:ERE458871 FBA458773:FBA458871 FKW458773:FKW458871 FUS458773:FUS458871 GEO458773:GEO458871 GOK458773:GOK458871 GYG458773:GYG458871 HIC458773:HIC458871 HRY458773:HRY458871 IBU458773:IBU458871 ILQ458773:ILQ458871 IVM458773:IVM458871 JFI458773:JFI458871 JPE458773:JPE458871 JZA458773:JZA458871 KIW458773:KIW458871 KSS458773:KSS458871 LCO458773:LCO458871 LMK458773:LMK458871 LWG458773:LWG458871 MGC458773:MGC458871 MPY458773:MPY458871 MZU458773:MZU458871 NJQ458773:NJQ458871 NTM458773:NTM458871 ODI458773:ODI458871 ONE458773:ONE458871 OXA458773:OXA458871 PGW458773:PGW458871 PQS458773:PQS458871 QAO458773:QAO458871 QKK458773:QKK458871 QUG458773:QUG458871 REC458773:REC458871 RNY458773:RNY458871 RXU458773:RXU458871 SHQ458773:SHQ458871 SRM458773:SRM458871 TBI458773:TBI458871 TLE458773:TLE458871 TVA458773:TVA458871 UEW458773:UEW458871 UOS458773:UOS458871 UYO458773:UYO458871 VIK458773:VIK458871 VSG458773:VSG458871 WCC458773:WCC458871 WLY458773:WLY458871 WVU458773:WVU458871 JI524309:JI524407 TE524309:TE524407 ADA524309:ADA524407 AMW524309:AMW524407 AWS524309:AWS524407 BGO524309:BGO524407 BQK524309:BQK524407 CAG524309:CAG524407 CKC524309:CKC524407 CTY524309:CTY524407 DDU524309:DDU524407 DNQ524309:DNQ524407 DXM524309:DXM524407 EHI524309:EHI524407 ERE524309:ERE524407 FBA524309:FBA524407 FKW524309:FKW524407 FUS524309:FUS524407 GEO524309:GEO524407 GOK524309:GOK524407 GYG524309:GYG524407 HIC524309:HIC524407 HRY524309:HRY524407 IBU524309:IBU524407 ILQ524309:ILQ524407 IVM524309:IVM524407 JFI524309:JFI524407 JPE524309:JPE524407 JZA524309:JZA524407 KIW524309:KIW524407 KSS524309:KSS524407 LCO524309:LCO524407 LMK524309:LMK524407 LWG524309:LWG524407 MGC524309:MGC524407 MPY524309:MPY524407 MZU524309:MZU524407 NJQ524309:NJQ524407 NTM524309:NTM524407 ODI524309:ODI524407 ONE524309:ONE524407 OXA524309:OXA524407 PGW524309:PGW524407 PQS524309:PQS524407 QAO524309:QAO524407 QKK524309:QKK524407 QUG524309:QUG524407 REC524309:REC524407 RNY524309:RNY524407 RXU524309:RXU524407 SHQ524309:SHQ524407 SRM524309:SRM524407 TBI524309:TBI524407 TLE524309:TLE524407 TVA524309:TVA524407 UEW524309:UEW524407 UOS524309:UOS524407 UYO524309:UYO524407 VIK524309:VIK524407 VSG524309:VSG524407 WCC524309:WCC524407 WLY524309:WLY524407 WVU524309:WVU524407 JI589845:JI589943 TE589845:TE589943 ADA589845:ADA589943 AMW589845:AMW589943 AWS589845:AWS589943 BGO589845:BGO589943 BQK589845:BQK589943 CAG589845:CAG589943 CKC589845:CKC589943 CTY589845:CTY589943 DDU589845:DDU589943 DNQ589845:DNQ589943 DXM589845:DXM589943 EHI589845:EHI589943 ERE589845:ERE589943 FBA589845:FBA589943 FKW589845:FKW589943 FUS589845:FUS589943 GEO589845:GEO589943 GOK589845:GOK589943 GYG589845:GYG589943 HIC589845:HIC589943 HRY589845:HRY589943 IBU589845:IBU589943 ILQ589845:ILQ589943 IVM589845:IVM589943 JFI589845:JFI589943 JPE589845:JPE589943 JZA589845:JZA589943 KIW589845:KIW589943 KSS589845:KSS589943 LCO589845:LCO589943 LMK589845:LMK589943 LWG589845:LWG589943 MGC589845:MGC589943 MPY589845:MPY589943 MZU589845:MZU589943 NJQ589845:NJQ589943 NTM589845:NTM589943 ODI589845:ODI589943 ONE589845:ONE589943 OXA589845:OXA589943 PGW589845:PGW589943 PQS589845:PQS589943 QAO589845:QAO589943 QKK589845:QKK589943 QUG589845:QUG589943 REC589845:REC589943 RNY589845:RNY589943 RXU589845:RXU589943 SHQ589845:SHQ589943 SRM589845:SRM589943 TBI589845:TBI589943 TLE589845:TLE589943 TVA589845:TVA589943 UEW589845:UEW589943 UOS589845:UOS589943 UYO589845:UYO589943 VIK589845:VIK589943 VSG589845:VSG589943 WCC589845:WCC589943 WLY589845:WLY589943 WVU589845:WVU589943 JI655381:JI655479 TE655381:TE655479 ADA655381:ADA655479 AMW655381:AMW655479 AWS655381:AWS655479 BGO655381:BGO655479 BQK655381:BQK655479 CAG655381:CAG655479 CKC655381:CKC655479 CTY655381:CTY655479 DDU655381:DDU655479 DNQ655381:DNQ655479 DXM655381:DXM655479 EHI655381:EHI655479 ERE655381:ERE655479 FBA655381:FBA655479 FKW655381:FKW655479 FUS655381:FUS655479 GEO655381:GEO655479 GOK655381:GOK655479 GYG655381:GYG655479 HIC655381:HIC655479 HRY655381:HRY655479 IBU655381:IBU655479 ILQ655381:ILQ655479 IVM655381:IVM655479 JFI655381:JFI655479 JPE655381:JPE655479 JZA655381:JZA655479 KIW655381:KIW655479 KSS655381:KSS655479 LCO655381:LCO655479 LMK655381:LMK655479 LWG655381:LWG655479 MGC655381:MGC655479 MPY655381:MPY655479 MZU655381:MZU655479 NJQ655381:NJQ655479 NTM655381:NTM655479 ODI655381:ODI655479 ONE655381:ONE655479 OXA655381:OXA655479 PGW655381:PGW655479 PQS655381:PQS655479 QAO655381:QAO655479 QKK655381:QKK655479 QUG655381:QUG655479 REC655381:REC655479 RNY655381:RNY655479 RXU655381:RXU655479 SHQ655381:SHQ655479 SRM655381:SRM655479 TBI655381:TBI655479 TLE655381:TLE655479 TVA655381:TVA655479 UEW655381:UEW655479 UOS655381:UOS655479 UYO655381:UYO655479 VIK655381:VIK655479 VSG655381:VSG655479 WCC655381:WCC655479 WLY655381:WLY655479 WVU655381:WVU655479 JI720917:JI721015 TE720917:TE721015 ADA720917:ADA721015 AMW720917:AMW721015 AWS720917:AWS721015 BGO720917:BGO721015 BQK720917:BQK721015 CAG720917:CAG721015 CKC720917:CKC721015 CTY720917:CTY721015 DDU720917:DDU721015 DNQ720917:DNQ721015 DXM720917:DXM721015 EHI720917:EHI721015 ERE720917:ERE721015 FBA720917:FBA721015 FKW720917:FKW721015 FUS720917:FUS721015 GEO720917:GEO721015 GOK720917:GOK721015 GYG720917:GYG721015 HIC720917:HIC721015 HRY720917:HRY721015 IBU720917:IBU721015 ILQ720917:ILQ721015 IVM720917:IVM721015 JFI720917:JFI721015 JPE720917:JPE721015 JZA720917:JZA721015 KIW720917:KIW721015 KSS720917:KSS721015 LCO720917:LCO721015 LMK720917:LMK721015 LWG720917:LWG721015 MGC720917:MGC721015 MPY720917:MPY721015 MZU720917:MZU721015 NJQ720917:NJQ721015 NTM720917:NTM721015 ODI720917:ODI721015 ONE720917:ONE721015 OXA720917:OXA721015 PGW720917:PGW721015 PQS720917:PQS721015 QAO720917:QAO721015 QKK720917:QKK721015 QUG720917:QUG721015 REC720917:REC721015 RNY720917:RNY721015 RXU720917:RXU721015 SHQ720917:SHQ721015 SRM720917:SRM721015 TBI720917:TBI721015 TLE720917:TLE721015 TVA720917:TVA721015 UEW720917:UEW721015 UOS720917:UOS721015 UYO720917:UYO721015 VIK720917:VIK721015 VSG720917:VSG721015 WCC720917:WCC721015 WLY720917:WLY721015 WVU720917:WVU721015 JI786453:JI786551 TE786453:TE786551 ADA786453:ADA786551 AMW786453:AMW786551 AWS786453:AWS786551 BGO786453:BGO786551 BQK786453:BQK786551 CAG786453:CAG786551 CKC786453:CKC786551 CTY786453:CTY786551 DDU786453:DDU786551 DNQ786453:DNQ786551 DXM786453:DXM786551 EHI786453:EHI786551 ERE786453:ERE786551 FBA786453:FBA786551 FKW786453:FKW786551 FUS786453:FUS786551 GEO786453:GEO786551 GOK786453:GOK786551 GYG786453:GYG786551 HIC786453:HIC786551 HRY786453:HRY786551 IBU786453:IBU786551 ILQ786453:ILQ786551 IVM786453:IVM786551 JFI786453:JFI786551 JPE786453:JPE786551 JZA786453:JZA786551 KIW786453:KIW786551 KSS786453:KSS786551 LCO786453:LCO786551 LMK786453:LMK786551 LWG786453:LWG786551 MGC786453:MGC786551 MPY786453:MPY786551 MZU786453:MZU786551 NJQ786453:NJQ786551 NTM786453:NTM786551 ODI786453:ODI786551 ONE786453:ONE786551 OXA786453:OXA786551 PGW786453:PGW786551 PQS786453:PQS786551 QAO786453:QAO786551 QKK786453:QKK786551 QUG786453:QUG786551 REC786453:REC786551 RNY786453:RNY786551 RXU786453:RXU786551 SHQ786453:SHQ786551 SRM786453:SRM786551 TBI786453:TBI786551 TLE786453:TLE786551 TVA786453:TVA786551 UEW786453:UEW786551 UOS786453:UOS786551 UYO786453:UYO786551 VIK786453:VIK786551 VSG786453:VSG786551 WCC786453:WCC786551 WLY786453:WLY786551 WVU786453:WVU786551 JI851989:JI852087 TE851989:TE852087 ADA851989:ADA852087 AMW851989:AMW852087 AWS851989:AWS852087 BGO851989:BGO852087 BQK851989:BQK852087 CAG851989:CAG852087 CKC851989:CKC852087 CTY851989:CTY852087 DDU851989:DDU852087 DNQ851989:DNQ852087 DXM851989:DXM852087 EHI851989:EHI852087 ERE851989:ERE852087 FBA851989:FBA852087 FKW851989:FKW852087 FUS851989:FUS852087 GEO851989:GEO852087 GOK851989:GOK852087 GYG851989:GYG852087 HIC851989:HIC852087 HRY851989:HRY852087 IBU851989:IBU852087 ILQ851989:ILQ852087 IVM851989:IVM852087 JFI851989:JFI852087 JPE851989:JPE852087 JZA851989:JZA852087 KIW851989:KIW852087 KSS851989:KSS852087 LCO851989:LCO852087 LMK851989:LMK852087 LWG851989:LWG852087 MGC851989:MGC852087 MPY851989:MPY852087 MZU851989:MZU852087 NJQ851989:NJQ852087 NTM851989:NTM852087 ODI851989:ODI852087 ONE851989:ONE852087 OXA851989:OXA852087 PGW851989:PGW852087 PQS851989:PQS852087 QAO851989:QAO852087 QKK851989:QKK852087 QUG851989:QUG852087 REC851989:REC852087 RNY851989:RNY852087 RXU851989:RXU852087 SHQ851989:SHQ852087 SRM851989:SRM852087 TBI851989:TBI852087 TLE851989:TLE852087 TVA851989:TVA852087 UEW851989:UEW852087 UOS851989:UOS852087 UYO851989:UYO852087 VIK851989:VIK852087 VSG851989:VSG852087 WCC851989:WCC852087 WLY851989:WLY852087 WVU851989:WVU852087 JI917525:JI917623 TE917525:TE917623 ADA917525:ADA917623 AMW917525:AMW917623 AWS917525:AWS917623 BGO917525:BGO917623 BQK917525:BQK917623 CAG917525:CAG917623 CKC917525:CKC917623 CTY917525:CTY917623 DDU917525:DDU917623 DNQ917525:DNQ917623 DXM917525:DXM917623 EHI917525:EHI917623 ERE917525:ERE917623 FBA917525:FBA917623 FKW917525:FKW917623 FUS917525:FUS917623 GEO917525:GEO917623 GOK917525:GOK917623 GYG917525:GYG917623 HIC917525:HIC917623 HRY917525:HRY917623 IBU917525:IBU917623 ILQ917525:ILQ917623 IVM917525:IVM917623 JFI917525:JFI917623 JPE917525:JPE917623 JZA917525:JZA917623 KIW917525:KIW917623 KSS917525:KSS917623 LCO917525:LCO917623 LMK917525:LMK917623 LWG917525:LWG917623 MGC917525:MGC917623 MPY917525:MPY917623 MZU917525:MZU917623 NJQ917525:NJQ917623 NTM917525:NTM917623 ODI917525:ODI917623 ONE917525:ONE917623 OXA917525:OXA917623 PGW917525:PGW917623 PQS917525:PQS917623 QAO917525:QAO917623 QKK917525:QKK917623 QUG917525:QUG917623 REC917525:REC917623 RNY917525:RNY917623 RXU917525:RXU917623 SHQ917525:SHQ917623 SRM917525:SRM917623 TBI917525:TBI917623 TLE917525:TLE917623 TVA917525:TVA917623 UEW917525:UEW917623 UOS917525:UOS917623 UYO917525:UYO917623 VIK917525:VIK917623 VSG917525:VSG917623 WCC917525:WCC917623 WLY917525:WLY917623 WVU917525:WVU917623 JI983061:JI983159 TE983061:TE983159 ADA983061:ADA983159 AMW983061:AMW983159 AWS983061:AWS983159 BGO983061:BGO983159 BQK983061:BQK983159 CAG983061:CAG983159 CKC983061:CKC983159 CTY983061:CTY983159 DDU983061:DDU983159 DNQ983061:DNQ983159 DXM983061:DXM983159 EHI983061:EHI983159 ERE983061:ERE983159 FBA983061:FBA983159 FKW983061:FKW983159 FUS983061:FUS983159 GEO983061:GEO983159 GOK983061:GOK983159 GYG983061:GYG983159 HIC983061:HIC983159 HRY983061:HRY983159 IBU983061:IBU983159 ILQ983061:ILQ983159 IVM983061:IVM983159 JFI983061:JFI983159 JPE983061:JPE983159 JZA983061:JZA983159 KIW983061:KIW983159 KSS983061:KSS983159 LCO983061:LCO983159 LMK983061:LMK983159 LWG983061:LWG983159 MGC983061:MGC983159 MPY983061:MPY983159 MZU983061:MZU983159 NJQ983061:NJQ983159 NTM983061:NTM983159 ODI983061:ODI983159 ONE983061:ONE983159 OXA983061:OXA983159 PGW983061:PGW983159 PQS983061:PQS983159 QAO983061:QAO983159 QKK983061:QKK983159 QUG983061:QUG983159 REC983061:REC983159 RNY983061:RNY983159 RXU983061:RXU983159 SHQ983061:SHQ983159 SRM983061:SRM983159 TBI983061:TBI983159 TLE983061:TLE983159 TVA983061:TVA983159 UEW983061:UEW983159 UOS983061:UOS983159 UYO983061:UYO983159 VIK983061:VIK983159 VSG983061:VSG983159 WCC983061:WCC983159 WLY983061:WLY983159 WVU983061:WVU983159">
      <formula1>#REF!</formula1>
    </dataValidation>
    <dataValidation type="list" errorStyle="warning" allowBlank="1" showInputMessage="1" showErrorMessage="1" errorTitle="Special Condition Type" error="Input either: _x000a__x000a_Amortization_x000a_Lock-In_x000a_Other" sqref="WWA983061:WWA983159 TK21:TK119 ADG21:ADG119 ANC21:ANC119 AWY21:AWY119 BGU21:BGU119 BQQ21:BQQ119 CAM21:CAM119 CKI21:CKI119 CUE21:CUE119 DEA21:DEA119 DNW21:DNW119 DXS21:DXS119 EHO21:EHO119 ERK21:ERK119 FBG21:FBG119 FLC21:FLC119 FUY21:FUY119 GEU21:GEU119 GOQ21:GOQ119 GYM21:GYM119 HII21:HII119 HSE21:HSE119 ICA21:ICA119 ILW21:ILW119 IVS21:IVS119 JFO21:JFO119 JPK21:JPK119 JZG21:JZG119 KJC21:KJC119 KSY21:KSY119 LCU21:LCU119 LMQ21:LMQ119 LWM21:LWM119 MGI21:MGI119 MQE21:MQE119 NAA21:NAA119 NJW21:NJW119 NTS21:NTS119 ODO21:ODO119 ONK21:ONK119 OXG21:OXG119 PHC21:PHC119 PQY21:PQY119 QAU21:QAU119 QKQ21:QKQ119 QUM21:QUM119 REI21:REI119 ROE21:ROE119 RYA21:RYA119 SHW21:SHW119 SRS21:SRS119 TBO21:TBO119 TLK21:TLK119 TVG21:TVG119 UFC21:UFC119 UOY21:UOY119 UYU21:UYU119 VIQ21:VIQ119 VSM21:VSM119 WCI21:WCI119 WME21:WME119 WWA21:WWA119 JO65557:JO65655 TK65557:TK65655 ADG65557:ADG65655 ANC65557:ANC65655 AWY65557:AWY65655 BGU65557:BGU65655 BQQ65557:BQQ65655 CAM65557:CAM65655 CKI65557:CKI65655 CUE65557:CUE65655 DEA65557:DEA65655 DNW65557:DNW65655 DXS65557:DXS65655 EHO65557:EHO65655 ERK65557:ERK65655 FBG65557:FBG65655 FLC65557:FLC65655 FUY65557:FUY65655 GEU65557:GEU65655 GOQ65557:GOQ65655 GYM65557:GYM65655 HII65557:HII65655 HSE65557:HSE65655 ICA65557:ICA65655 ILW65557:ILW65655 IVS65557:IVS65655 JFO65557:JFO65655 JPK65557:JPK65655 JZG65557:JZG65655 KJC65557:KJC65655 KSY65557:KSY65655 LCU65557:LCU65655 LMQ65557:LMQ65655 LWM65557:LWM65655 MGI65557:MGI65655 MQE65557:MQE65655 NAA65557:NAA65655 NJW65557:NJW65655 NTS65557:NTS65655 ODO65557:ODO65655 ONK65557:ONK65655 OXG65557:OXG65655 PHC65557:PHC65655 PQY65557:PQY65655 QAU65557:QAU65655 QKQ65557:QKQ65655 QUM65557:QUM65655 REI65557:REI65655 ROE65557:ROE65655 RYA65557:RYA65655 SHW65557:SHW65655 SRS65557:SRS65655 TBO65557:TBO65655 TLK65557:TLK65655 TVG65557:TVG65655 UFC65557:UFC65655 UOY65557:UOY65655 UYU65557:UYU65655 VIQ65557:VIQ65655 VSM65557:VSM65655 WCI65557:WCI65655 WME65557:WME65655 WWA65557:WWA65655 JO131093:JO131191 TK131093:TK131191 ADG131093:ADG131191 ANC131093:ANC131191 AWY131093:AWY131191 BGU131093:BGU131191 BQQ131093:BQQ131191 CAM131093:CAM131191 CKI131093:CKI131191 CUE131093:CUE131191 DEA131093:DEA131191 DNW131093:DNW131191 DXS131093:DXS131191 EHO131093:EHO131191 ERK131093:ERK131191 FBG131093:FBG131191 FLC131093:FLC131191 FUY131093:FUY131191 GEU131093:GEU131191 GOQ131093:GOQ131191 GYM131093:GYM131191 HII131093:HII131191 HSE131093:HSE131191 ICA131093:ICA131191 ILW131093:ILW131191 IVS131093:IVS131191 JFO131093:JFO131191 JPK131093:JPK131191 JZG131093:JZG131191 KJC131093:KJC131191 KSY131093:KSY131191 LCU131093:LCU131191 LMQ131093:LMQ131191 LWM131093:LWM131191 MGI131093:MGI131191 MQE131093:MQE131191 NAA131093:NAA131191 NJW131093:NJW131191 NTS131093:NTS131191 ODO131093:ODO131191 ONK131093:ONK131191 OXG131093:OXG131191 PHC131093:PHC131191 PQY131093:PQY131191 QAU131093:QAU131191 QKQ131093:QKQ131191 QUM131093:QUM131191 REI131093:REI131191 ROE131093:ROE131191 RYA131093:RYA131191 SHW131093:SHW131191 SRS131093:SRS131191 TBO131093:TBO131191 TLK131093:TLK131191 TVG131093:TVG131191 UFC131093:UFC131191 UOY131093:UOY131191 UYU131093:UYU131191 VIQ131093:VIQ131191 VSM131093:VSM131191 WCI131093:WCI131191 WME131093:WME131191 WWA131093:WWA131191 JO196629:JO196727 TK196629:TK196727 ADG196629:ADG196727 ANC196629:ANC196727 AWY196629:AWY196727 BGU196629:BGU196727 BQQ196629:BQQ196727 CAM196629:CAM196727 CKI196629:CKI196727 CUE196629:CUE196727 DEA196629:DEA196727 DNW196629:DNW196727 DXS196629:DXS196727 EHO196629:EHO196727 ERK196629:ERK196727 FBG196629:FBG196727 FLC196629:FLC196727 FUY196629:FUY196727 GEU196629:GEU196727 GOQ196629:GOQ196727 GYM196629:GYM196727 HII196629:HII196727 HSE196629:HSE196727 ICA196629:ICA196727 ILW196629:ILW196727 IVS196629:IVS196727 JFO196629:JFO196727 JPK196629:JPK196727 JZG196629:JZG196727 KJC196629:KJC196727 KSY196629:KSY196727 LCU196629:LCU196727 LMQ196629:LMQ196727 LWM196629:LWM196727 MGI196629:MGI196727 MQE196629:MQE196727 NAA196629:NAA196727 NJW196629:NJW196727 NTS196629:NTS196727 ODO196629:ODO196727 ONK196629:ONK196727 OXG196629:OXG196727 PHC196629:PHC196727 PQY196629:PQY196727 QAU196629:QAU196727 QKQ196629:QKQ196727 QUM196629:QUM196727 REI196629:REI196727 ROE196629:ROE196727 RYA196629:RYA196727 SHW196629:SHW196727 SRS196629:SRS196727 TBO196629:TBO196727 TLK196629:TLK196727 TVG196629:TVG196727 UFC196629:UFC196727 UOY196629:UOY196727 UYU196629:UYU196727 VIQ196629:VIQ196727 VSM196629:VSM196727 WCI196629:WCI196727 WME196629:WME196727 WWA196629:WWA196727 JO262165:JO262263 TK262165:TK262263 ADG262165:ADG262263 ANC262165:ANC262263 AWY262165:AWY262263 BGU262165:BGU262263 BQQ262165:BQQ262263 CAM262165:CAM262263 CKI262165:CKI262263 CUE262165:CUE262263 DEA262165:DEA262263 DNW262165:DNW262263 DXS262165:DXS262263 EHO262165:EHO262263 ERK262165:ERK262263 FBG262165:FBG262263 FLC262165:FLC262263 FUY262165:FUY262263 GEU262165:GEU262263 GOQ262165:GOQ262263 GYM262165:GYM262263 HII262165:HII262263 HSE262165:HSE262263 ICA262165:ICA262263 ILW262165:ILW262263 IVS262165:IVS262263 JFO262165:JFO262263 JPK262165:JPK262263 JZG262165:JZG262263 KJC262165:KJC262263 KSY262165:KSY262263 LCU262165:LCU262263 LMQ262165:LMQ262263 LWM262165:LWM262263 MGI262165:MGI262263 MQE262165:MQE262263 NAA262165:NAA262263 NJW262165:NJW262263 NTS262165:NTS262263 ODO262165:ODO262263 ONK262165:ONK262263 OXG262165:OXG262263 PHC262165:PHC262263 PQY262165:PQY262263 QAU262165:QAU262263 QKQ262165:QKQ262263 QUM262165:QUM262263 REI262165:REI262263 ROE262165:ROE262263 RYA262165:RYA262263 SHW262165:SHW262263 SRS262165:SRS262263 TBO262165:TBO262263 TLK262165:TLK262263 TVG262165:TVG262263 UFC262165:UFC262263 UOY262165:UOY262263 UYU262165:UYU262263 VIQ262165:VIQ262263 VSM262165:VSM262263 WCI262165:WCI262263 WME262165:WME262263 WWA262165:WWA262263 JO327701:JO327799 TK327701:TK327799 ADG327701:ADG327799 ANC327701:ANC327799 AWY327701:AWY327799 BGU327701:BGU327799 BQQ327701:BQQ327799 CAM327701:CAM327799 CKI327701:CKI327799 CUE327701:CUE327799 DEA327701:DEA327799 DNW327701:DNW327799 DXS327701:DXS327799 EHO327701:EHO327799 ERK327701:ERK327799 FBG327701:FBG327799 FLC327701:FLC327799 FUY327701:FUY327799 GEU327701:GEU327799 GOQ327701:GOQ327799 GYM327701:GYM327799 HII327701:HII327799 HSE327701:HSE327799 ICA327701:ICA327799 ILW327701:ILW327799 IVS327701:IVS327799 JFO327701:JFO327799 JPK327701:JPK327799 JZG327701:JZG327799 KJC327701:KJC327799 KSY327701:KSY327799 LCU327701:LCU327799 LMQ327701:LMQ327799 LWM327701:LWM327799 MGI327701:MGI327799 MQE327701:MQE327799 NAA327701:NAA327799 NJW327701:NJW327799 NTS327701:NTS327799 ODO327701:ODO327799 ONK327701:ONK327799 OXG327701:OXG327799 PHC327701:PHC327799 PQY327701:PQY327799 QAU327701:QAU327799 QKQ327701:QKQ327799 QUM327701:QUM327799 REI327701:REI327799 ROE327701:ROE327799 RYA327701:RYA327799 SHW327701:SHW327799 SRS327701:SRS327799 TBO327701:TBO327799 TLK327701:TLK327799 TVG327701:TVG327799 UFC327701:UFC327799 UOY327701:UOY327799 UYU327701:UYU327799 VIQ327701:VIQ327799 VSM327701:VSM327799 WCI327701:WCI327799 WME327701:WME327799 WWA327701:WWA327799 JO393237:JO393335 TK393237:TK393335 ADG393237:ADG393335 ANC393237:ANC393335 AWY393237:AWY393335 BGU393237:BGU393335 BQQ393237:BQQ393335 CAM393237:CAM393335 CKI393237:CKI393335 CUE393237:CUE393335 DEA393237:DEA393335 DNW393237:DNW393335 DXS393237:DXS393335 EHO393237:EHO393335 ERK393237:ERK393335 FBG393237:FBG393335 FLC393237:FLC393335 FUY393237:FUY393335 GEU393237:GEU393335 GOQ393237:GOQ393335 GYM393237:GYM393335 HII393237:HII393335 HSE393237:HSE393335 ICA393237:ICA393335 ILW393237:ILW393335 IVS393237:IVS393335 JFO393237:JFO393335 JPK393237:JPK393335 JZG393237:JZG393335 KJC393237:KJC393335 KSY393237:KSY393335 LCU393237:LCU393335 LMQ393237:LMQ393335 LWM393237:LWM393335 MGI393237:MGI393335 MQE393237:MQE393335 NAA393237:NAA393335 NJW393237:NJW393335 NTS393237:NTS393335 ODO393237:ODO393335 ONK393237:ONK393335 OXG393237:OXG393335 PHC393237:PHC393335 PQY393237:PQY393335 QAU393237:QAU393335 QKQ393237:QKQ393335 QUM393237:QUM393335 REI393237:REI393335 ROE393237:ROE393335 RYA393237:RYA393335 SHW393237:SHW393335 SRS393237:SRS393335 TBO393237:TBO393335 TLK393237:TLK393335 TVG393237:TVG393335 UFC393237:UFC393335 UOY393237:UOY393335 UYU393237:UYU393335 VIQ393237:VIQ393335 VSM393237:VSM393335 WCI393237:WCI393335 WME393237:WME393335 WWA393237:WWA393335 JO458773:JO458871 TK458773:TK458871 ADG458773:ADG458871 ANC458773:ANC458871 AWY458773:AWY458871 BGU458773:BGU458871 BQQ458773:BQQ458871 CAM458773:CAM458871 CKI458773:CKI458871 CUE458773:CUE458871 DEA458773:DEA458871 DNW458773:DNW458871 DXS458773:DXS458871 EHO458773:EHO458871 ERK458773:ERK458871 FBG458773:FBG458871 FLC458773:FLC458871 FUY458773:FUY458871 GEU458773:GEU458871 GOQ458773:GOQ458871 GYM458773:GYM458871 HII458773:HII458871 HSE458773:HSE458871 ICA458773:ICA458871 ILW458773:ILW458871 IVS458773:IVS458871 JFO458773:JFO458871 JPK458773:JPK458871 JZG458773:JZG458871 KJC458773:KJC458871 KSY458773:KSY458871 LCU458773:LCU458871 LMQ458773:LMQ458871 LWM458773:LWM458871 MGI458773:MGI458871 MQE458773:MQE458871 NAA458773:NAA458871 NJW458773:NJW458871 NTS458773:NTS458871 ODO458773:ODO458871 ONK458773:ONK458871 OXG458773:OXG458871 PHC458773:PHC458871 PQY458773:PQY458871 QAU458773:QAU458871 QKQ458773:QKQ458871 QUM458773:QUM458871 REI458773:REI458871 ROE458773:ROE458871 RYA458773:RYA458871 SHW458773:SHW458871 SRS458773:SRS458871 TBO458773:TBO458871 TLK458773:TLK458871 TVG458773:TVG458871 UFC458773:UFC458871 UOY458773:UOY458871 UYU458773:UYU458871 VIQ458773:VIQ458871 VSM458773:VSM458871 WCI458773:WCI458871 WME458773:WME458871 WWA458773:WWA458871 JO524309:JO524407 TK524309:TK524407 ADG524309:ADG524407 ANC524309:ANC524407 AWY524309:AWY524407 BGU524309:BGU524407 BQQ524309:BQQ524407 CAM524309:CAM524407 CKI524309:CKI524407 CUE524309:CUE524407 DEA524309:DEA524407 DNW524309:DNW524407 DXS524309:DXS524407 EHO524309:EHO524407 ERK524309:ERK524407 FBG524309:FBG524407 FLC524309:FLC524407 FUY524309:FUY524407 GEU524309:GEU524407 GOQ524309:GOQ524407 GYM524309:GYM524407 HII524309:HII524407 HSE524309:HSE524407 ICA524309:ICA524407 ILW524309:ILW524407 IVS524309:IVS524407 JFO524309:JFO524407 JPK524309:JPK524407 JZG524309:JZG524407 KJC524309:KJC524407 KSY524309:KSY524407 LCU524309:LCU524407 LMQ524309:LMQ524407 LWM524309:LWM524407 MGI524309:MGI524407 MQE524309:MQE524407 NAA524309:NAA524407 NJW524309:NJW524407 NTS524309:NTS524407 ODO524309:ODO524407 ONK524309:ONK524407 OXG524309:OXG524407 PHC524309:PHC524407 PQY524309:PQY524407 QAU524309:QAU524407 QKQ524309:QKQ524407 QUM524309:QUM524407 REI524309:REI524407 ROE524309:ROE524407 RYA524309:RYA524407 SHW524309:SHW524407 SRS524309:SRS524407 TBO524309:TBO524407 TLK524309:TLK524407 TVG524309:TVG524407 UFC524309:UFC524407 UOY524309:UOY524407 UYU524309:UYU524407 VIQ524309:VIQ524407 VSM524309:VSM524407 WCI524309:WCI524407 WME524309:WME524407 WWA524309:WWA524407 JO589845:JO589943 TK589845:TK589943 ADG589845:ADG589943 ANC589845:ANC589943 AWY589845:AWY589943 BGU589845:BGU589943 BQQ589845:BQQ589943 CAM589845:CAM589943 CKI589845:CKI589943 CUE589845:CUE589943 DEA589845:DEA589943 DNW589845:DNW589943 DXS589845:DXS589943 EHO589845:EHO589943 ERK589845:ERK589943 FBG589845:FBG589943 FLC589845:FLC589943 FUY589845:FUY589943 GEU589845:GEU589943 GOQ589845:GOQ589943 GYM589845:GYM589943 HII589845:HII589943 HSE589845:HSE589943 ICA589845:ICA589943 ILW589845:ILW589943 IVS589845:IVS589943 JFO589845:JFO589943 JPK589845:JPK589943 JZG589845:JZG589943 KJC589845:KJC589943 KSY589845:KSY589943 LCU589845:LCU589943 LMQ589845:LMQ589943 LWM589845:LWM589943 MGI589845:MGI589943 MQE589845:MQE589943 NAA589845:NAA589943 NJW589845:NJW589943 NTS589845:NTS589943 ODO589845:ODO589943 ONK589845:ONK589943 OXG589845:OXG589943 PHC589845:PHC589943 PQY589845:PQY589943 QAU589845:QAU589943 QKQ589845:QKQ589943 QUM589845:QUM589943 REI589845:REI589943 ROE589845:ROE589943 RYA589845:RYA589943 SHW589845:SHW589943 SRS589845:SRS589943 TBO589845:TBO589943 TLK589845:TLK589943 TVG589845:TVG589943 UFC589845:UFC589943 UOY589845:UOY589943 UYU589845:UYU589943 VIQ589845:VIQ589943 VSM589845:VSM589943 WCI589845:WCI589943 WME589845:WME589943 WWA589845:WWA589943 JO655381:JO655479 TK655381:TK655479 ADG655381:ADG655479 ANC655381:ANC655479 AWY655381:AWY655479 BGU655381:BGU655479 BQQ655381:BQQ655479 CAM655381:CAM655479 CKI655381:CKI655479 CUE655381:CUE655479 DEA655381:DEA655479 DNW655381:DNW655479 DXS655381:DXS655479 EHO655381:EHO655479 ERK655381:ERK655479 FBG655381:FBG655479 FLC655381:FLC655479 FUY655381:FUY655479 GEU655381:GEU655479 GOQ655381:GOQ655479 GYM655381:GYM655479 HII655381:HII655479 HSE655381:HSE655479 ICA655381:ICA655479 ILW655381:ILW655479 IVS655381:IVS655479 JFO655381:JFO655479 JPK655381:JPK655479 JZG655381:JZG655479 KJC655381:KJC655479 KSY655381:KSY655479 LCU655381:LCU655479 LMQ655381:LMQ655479 LWM655381:LWM655479 MGI655381:MGI655479 MQE655381:MQE655479 NAA655381:NAA655479 NJW655381:NJW655479 NTS655381:NTS655479 ODO655381:ODO655479 ONK655381:ONK655479 OXG655381:OXG655479 PHC655381:PHC655479 PQY655381:PQY655479 QAU655381:QAU655479 QKQ655381:QKQ655479 QUM655381:QUM655479 REI655381:REI655479 ROE655381:ROE655479 RYA655381:RYA655479 SHW655381:SHW655479 SRS655381:SRS655479 TBO655381:TBO655479 TLK655381:TLK655479 TVG655381:TVG655479 UFC655381:UFC655479 UOY655381:UOY655479 UYU655381:UYU655479 VIQ655381:VIQ655479 VSM655381:VSM655479 WCI655381:WCI655479 WME655381:WME655479 WWA655381:WWA655479 JO720917:JO721015 TK720917:TK721015 ADG720917:ADG721015 ANC720917:ANC721015 AWY720917:AWY721015 BGU720917:BGU721015 BQQ720917:BQQ721015 CAM720917:CAM721015 CKI720917:CKI721015 CUE720917:CUE721015 DEA720917:DEA721015 DNW720917:DNW721015 DXS720917:DXS721015 EHO720917:EHO721015 ERK720917:ERK721015 FBG720917:FBG721015 FLC720917:FLC721015 FUY720917:FUY721015 GEU720917:GEU721015 GOQ720917:GOQ721015 GYM720917:GYM721015 HII720917:HII721015 HSE720917:HSE721015 ICA720917:ICA721015 ILW720917:ILW721015 IVS720917:IVS721015 JFO720917:JFO721015 JPK720917:JPK721015 JZG720917:JZG721015 KJC720917:KJC721015 KSY720917:KSY721015 LCU720917:LCU721015 LMQ720917:LMQ721015 LWM720917:LWM721015 MGI720917:MGI721015 MQE720917:MQE721015 NAA720917:NAA721015 NJW720917:NJW721015 NTS720917:NTS721015 ODO720917:ODO721015 ONK720917:ONK721015 OXG720917:OXG721015 PHC720917:PHC721015 PQY720917:PQY721015 QAU720917:QAU721015 QKQ720917:QKQ721015 QUM720917:QUM721015 REI720917:REI721015 ROE720917:ROE721015 RYA720917:RYA721015 SHW720917:SHW721015 SRS720917:SRS721015 TBO720917:TBO721015 TLK720917:TLK721015 TVG720917:TVG721015 UFC720917:UFC721015 UOY720917:UOY721015 UYU720917:UYU721015 VIQ720917:VIQ721015 VSM720917:VSM721015 WCI720917:WCI721015 WME720917:WME721015 WWA720917:WWA721015 JO786453:JO786551 TK786453:TK786551 ADG786453:ADG786551 ANC786453:ANC786551 AWY786453:AWY786551 BGU786453:BGU786551 BQQ786453:BQQ786551 CAM786453:CAM786551 CKI786453:CKI786551 CUE786453:CUE786551 DEA786453:DEA786551 DNW786453:DNW786551 DXS786453:DXS786551 EHO786453:EHO786551 ERK786453:ERK786551 FBG786453:FBG786551 FLC786453:FLC786551 FUY786453:FUY786551 GEU786453:GEU786551 GOQ786453:GOQ786551 GYM786453:GYM786551 HII786453:HII786551 HSE786453:HSE786551 ICA786453:ICA786551 ILW786453:ILW786551 IVS786453:IVS786551 JFO786453:JFO786551 JPK786453:JPK786551 JZG786453:JZG786551 KJC786453:KJC786551 KSY786453:KSY786551 LCU786453:LCU786551 LMQ786453:LMQ786551 LWM786453:LWM786551 MGI786453:MGI786551 MQE786453:MQE786551 NAA786453:NAA786551 NJW786453:NJW786551 NTS786453:NTS786551 ODO786453:ODO786551 ONK786453:ONK786551 OXG786453:OXG786551 PHC786453:PHC786551 PQY786453:PQY786551 QAU786453:QAU786551 QKQ786453:QKQ786551 QUM786453:QUM786551 REI786453:REI786551 ROE786453:ROE786551 RYA786453:RYA786551 SHW786453:SHW786551 SRS786453:SRS786551 TBO786453:TBO786551 TLK786453:TLK786551 TVG786453:TVG786551 UFC786453:UFC786551 UOY786453:UOY786551 UYU786453:UYU786551 VIQ786453:VIQ786551 VSM786453:VSM786551 WCI786453:WCI786551 WME786453:WME786551 WWA786453:WWA786551 JO851989:JO852087 TK851989:TK852087 ADG851989:ADG852087 ANC851989:ANC852087 AWY851989:AWY852087 BGU851989:BGU852087 BQQ851989:BQQ852087 CAM851989:CAM852087 CKI851989:CKI852087 CUE851989:CUE852087 DEA851989:DEA852087 DNW851989:DNW852087 DXS851989:DXS852087 EHO851989:EHO852087 ERK851989:ERK852087 FBG851989:FBG852087 FLC851989:FLC852087 FUY851989:FUY852087 GEU851989:GEU852087 GOQ851989:GOQ852087 GYM851989:GYM852087 HII851989:HII852087 HSE851989:HSE852087 ICA851989:ICA852087 ILW851989:ILW852087 IVS851989:IVS852087 JFO851989:JFO852087 JPK851989:JPK852087 JZG851989:JZG852087 KJC851989:KJC852087 KSY851989:KSY852087 LCU851989:LCU852087 LMQ851989:LMQ852087 LWM851989:LWM852087 MGI851989:MGI852087 MQE851989:MQE852087 NAA851989:NAA852087 NJW851989:NJW852087 NTS851989:NTS852087 ODO851989:ODO852087 ONK851989:ONK852087 OXG851989:OXG852087 PHC851989:PHC852087 PQY851989:PQY852087 QAU851989:QAU852087 QKQ851989:QKQ852087 QUM851989:QUM852087 REI851989:REI852087 ROE851989:ROE852087 RYA851989:RYA852087 SHW851989:SHW852087 SRS851989:SRS852087 TBO851989:TBO852087 TLK851989:TLK852087 TVG851989:TVG852087 UFC851989:UFC852087 UOY851989:UOY852087 UYU851989:UYU852087 VIQ851989:VIQ852087 VSM851989:VSM852087 WCI851989:WCI852087 WME851989:WME852087 WWA851989:WWA852087 JO917525:JO917623 TK917525:TK917623 ADG917525:ADG917623 ANC917525:ANC917623 AWY917525:AWY917623 BGU917525:BGU917623 BQQ917525:BQQ917623 CAM917525:CAM917623 CKI917525:CKI917623 CUE917525:CUE917623 DEA917525:DEA917623 DNW917525:DNW917623 DXS917525:DXS917623 EHO917525:EHO917623 ERK917525:ERK917623 FBG917525:FBG917623 FLC917525:FLC917623 FUY917525:FUY917623 GEU917525:GEU917623 GOQ917525:GOQ917623 GYM917525:GYM917623 HII917525:HII917623 HSE917525:HSE917623 ICA917525:ICA917623 ILW917525:ILW917623 IVS917525:IVS917623 JFO917525:JFO917623 JPK917525:JPK917623 JZG917525:JZG917623 KJC917525:KJC917623 KSY917525:KSY917623 LCU917525:LCU917623 LMQ917525:LMQ917623 LWM917525:LWM917623 MGI917525:MGI917623 MQE917525:MQE917623 NAA917525:NAA917623 NJW917525:NJW917623 NTS917525:NTS917623 ODO917525:ODO917623 ONK917525:ONK917623 OXG917525:OXG917623 PHC917525:PHC917623 PQY917525:PQY917623 QAU917525:QAU917623 QKQ917525:QKQ917623 QUM917525:QUM917623 REI917525:REI917623 ROE917525:ROE917623 RYA917525:RYA917623 SHW917525:SHW917623 SRS917525:SRS917623 TBO917525:TBO917623 TLK917525:TLK917623 TVG917525:TVG917623 UFC917525:UFC917623 UOY917525:UOY917623 UYU917525:UYU917623 VIQ917525:VIQ917623 VSM917525:VSM917623 WCI917525:WCI917623 WME917525:WME917623 WWA917525:WWA917623 JO983061:JO983159 TK983061:TK983159 ADG983061:ADG983159 ANC983061:ANC983159 AWY983061:AWY983159 BGU983061:BGU983159 BQQ983061:BQQ983159 CAM983061:CAM983159 CKI983061:CKI983159 CUE983061:CUE983159 DEA983061:DEA983159 DNW983061:DNW983159 DXS983061:DXS983159 EHO983061:EHO983159 ERK983061:ERK983159 FBG983061:FBG983159 FLC983061:FLC983159 FUY983061:FUY983159 GEU983061:GEU983159 GOQ983061:GOQ983159 GYM983061:GYM983159 HII983061:HII983159 HSE983061:HSE983159 ICA983061:ICA983159 ILW983061:ILW983159 IVS983061:IVS983159 JFO983061:JFO983159 JPK983061:JPK983159 JZG983061:JZG983159 KJC983061:KJC983159 KSY983061:KSY983159 LCU983061:LCU983159 LMQ983061:LMQ983159 LWM983061:LWM983159 MGI983061:MGI983159 MQE983061:MQE983159 NAA983061:NAA983159 NJW983061:NJW983159 NTS983061:NTS983159 ODO983061:ODO983159 ONK983061:ONK983159 OXG983061:OXG983159 PHC983061:PHC983159 PQY983061:PQY983159 QAU983061:QAU983159 QKQ983061:QKQ983159 QUM983061:QUM983159 REI983061:REI983159 ROE983061:ROE983159 RYA983061:RYA983159 SHW983061:SHW983159 SRS983061:SRS983159 TBO983061:TBO983159 TLK983061:TLK983159 TVG983061:TVG983159 UFC983061:UFC983159 UOY983061:UOY983159 UYU983061:UYU983159 VIQ983061:VIQ983159 VSM983061:VSM983159 WCI983061:WCI983159 WME983061:WME983159 JO21:JO119">
      <formula1>#REF!</formula1>
    </dataValidation>
    <dataValidation type="list" allowBlank="1" showInputMessage="1" showErrorMessage="1" sqref="E20:E119 K20:Q119">
      <formula1>$G$129:$G$130</formula1>
    </dataValidation>
    <dataValidation type="list" allowBlank="1" showInputMessage="1" showErrorMessage="1" sqref="C20:C119">
      <formula1>$C$129:$C$139</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34</vt:i4>
      </vt:variant>
      <vt:variant>
        <vt:lpstr>Named Ranges</vt:lpstr>
      </vt:variant>
      <vt:variant>
        <vt:i4>59</vt:i4>
      </vt:variant>
    </vt:vector>
  </HeadingPairs>
  <TitlesOfParts>
    <vt:vector size="93" baseType="lpstr">
      <vt:lpstr>Introduction</vt:lpstr>
      <vt:lpstr>FT15.Index</vt:lpstr>
      <vt:lpstr>FT15.Participant</vt:lpstr>
      <vt:lpstr>Baseline</vt:lpstr>
      <vt:lpstr>BCR</vt:lpstr>
      <vt:lpstr>BCR.Balance sheet</vt:lpstr>
      <vt:lpstr>BCR.Capital resources</vt:lpstr>
      <vt:lpstr>FT15.Financial Instruments</vt:lpstr>
      <vt:lpstr>FT15.Non-Paid-Up Cap Resources</vt:lpstr>
      <vt:lpstr>ICS</vt:lpstr>
      <vt:lpstr>ICS.Non-Life type risk</vt:lpstr>
      <vt:lpstr>ICS.Catastrophe</vt:lpstr>
      <vt:lpstr>ICS.Life type risk</vt:lpstr>
      <vt:lpstr>ICS.Market risk</vt:lpstr>
      <vt:lpstr>ICS.Market.Interest rate</vt:lpstr>
      <vt:lpstr>ICS.Market.Equity</vt:lpstr>
      <vt:lpstr>ICS.Market.Real estate</vt:lpstr>
      <vt:lpstr>ICS.Market.Currency</vt:lpstr>
      <vt:lpstr>ICS.Market.Asset concentration</vt:lpstr>
      <vt:lpstr>ICS.Credit risk</vt:lpstr>
      <vt:lpstr>ICS.Operational risk</vt:lpstr>
      <vt:lpstr>ICS.Supplementary Info.Lapse</vt:lpstr>
      <vt:lpstr>ICS.Supplementary Info.Expense</vt:lpstr>
      <vt:lpstr>ICS.Balance sheet</vt:lpstr>
      <vt:lpstr>ICS.Transfer-MOCE</vt:lpstr>
      <vt:lpstr>ICS.Prudence-MOCE</vt:lpstr>
      <vt:lpstr>ICS.Capital resources</vt:lpstr>
      <vt:lpstr>ICS.Liabilities reconciliation</vt:lpstr>
      <vt:lpstr>ICS.Non Life.G+</vt:lpstr>
      <vt:lpstr>ICS.Mortality.G+</vt:lpstr>
      <vt:lpstr>ICS.Market.Interest rate.G+</vt:lpstr>
      <vt:lpstr>ICS.Market.Equity.G+</vt:lpstr>
      <vt:lpstr>FT15.Sovereign</vt:lpstr>
      <vt:lpstr>FT15.Tables</vt:lpstr>
      <vt:lpstr>FT15.Areas</vt:lpstr>
      <vt:lpstr>FT15.Cat.Perils</vt:lpstr>
      <vt:lpstr>FT15.ConsolidationApproach</vt:lpstr>
      <vt:lpstr>FT15.ICS.NLSegm</vt:lpstr>
      <vt:lpstr>FT15.IndexSheet</vt:lpstr>
      <vt:lpstr>FT15.LSegm</vt:lpstr>
      <vt:lpstr>FT15.NLSegm</vt:lpstr>
      <vt:lpstr>FT15.ReportingPhases</vt:lpstr>
      <vt:lpstr>FT15.ReportingUnits</vt:lpstr>
      <vt:lpstr>FT15.SpecificCurrencies</vt:lpstr>
      <vt:lpstr>FT15.TypeOfCapReq</vt:lpstr>
      <vt:lpstr>FT15.ValuationBasis</vt:lpstr>
      <vt:lpstr>'ICS.Life type risk'!ICS.Life.Corr</vt:lpstr>
      <vt:lpstr>ICS.Market.Corr</vt:lpstr>
      <vt:lpstr>'ICS.Non Life.G+'!ICS.NL.Buckets.P</vt:lpstr>
      <vt:lpstr>'ICS.Non-Life type risk'!ICS.NL.Buckets.P</vt:lpstr>
      <vt:lpstr>'ICS.Non Life.G+'!ICS.NL.Buckets.R</vt:lpstr>
      <vt:lpstr>'ICS.Non-Life type risk'!ICS.NL.Buckets.R</vt:lpstr>
      <vt:lpstr>'ICS.Non Life.G+'!ICS.NL.CategMapping</vt:lpstr>
      <vt:lpstr>'ICS.Non-Life type risk'!ICS.NL.CategMapping</vt:lpstr>
      <vt:lpstr>'ICS.Non Life.G+'!ICS.NL.Corr.Areas</vt:lpstr>
      <vt:lpstr>'ICS.Non-Life type risk'!ICS.NL.Corr.Areas</vt:lpstr>
      <vt:lpstr>'ICS.Non Life.G+'!ICS.NL.Corr.Categ</vt:lpstr>
      <vt:lpstr>'ICS.Non-Life type risk'!ICS.NL.Corr.Categ</vt:lpstr>
      <vt:lpstr>'ICS.Non Life.G+'!ICS.NL.Corr.P_R</vt:lpstr>
      <vt:lpstr>'ICS.Non-Life type risk'!ICS.NL.Corr.P_R</vt:lpstr>
      <vt:lpstr>IMF.AdvancedEconomies</vt:lpstr>
      <vt:lpstr>PrincipalLossAbsorbency</vt:lpstr>
      <vt:lpstr>Baseline!Print_Area</vt:lpstr>
      <vt:lpstr>BCR!Print_Area</vt:lpstr>
      <vt:lpstr>'BCR.Balance sheet'!Print_Area</vt:lpstr>
      <vt:lpstr>'BCR.Capital resources'!Print_Area</vt:lpstr>
      <vt:lpstr>FT15.Index!Print_Area</vt:lpstr>
      <vt:lpstr>FT15.Participant!Print_Area</vt:lpstr>
      <vt:lpstr>FT15.Sovereign!Print_Area</vt:lpstr>
      <vt:lpstr>ICS!Print_Area</vt:lpstr>
      <vt:lpstr>'ICS.Balance sheet'!Print_Area</vt:lpstr>
      <vt:lpstr>'ICS.Capital resources'!Print_Area</vt:lpstr>
      <vt:lpstr>'ICS.Life type risk'!Print_Area</vt:lpstr>
      <vt:lpstr>'ICS.Market risk'!Print_Area</vt:lpstr>
      <vt:lpstr>'ICS.Market.Asset concentration'!Print_Area</vt:lpstr>
      <vt:lpstr>ICS.Market.Currency!Print_Area</vt:lpstr>
      <vt:lpstr>ICS.Market.Equity!Print_Area</vt:lpstr>
      <vt:lpstr>'ICS.Market.Equity.G+'!Print_Area</vt:lpstr>
      <vt:lpstr>'ICS.Market.Interest rate'!Print_Area</vt:lpstr>
      <vt:lpstr>'ICS.Market.Interest rate.G+'!Print_Area</vt:lpstr>
      <vt:lpstr>'ICS.Market.Real estate'!Print_Area</vt:lpstr>
      <vt:lpstr>'ICS.Mortality.G+'!Print_Area</vt:lpstr>
      <vt:lpstr>'ICS.Non Life.G+'!Print_Area</vt:lpstr>
      <vt:lpstr>'ICS.Non-Life type risk'!Print_Area</vt:lpstr>
      <vt:lpstr>'ICS.Operational risk'!Print_Area</vt:lpstr>
      <vt:lpstr>'ICS.Prudence-MOCE'!Print_Area</vt:lpstr>
      <vt:lpstr>'ICS.Supplementary Info.Expense'!Print_Area</vt:lpstr>
      <vt:lpstr>'ICS.Supplementary Info.Lapse'!Print_Area</vt:lpstr>
      <vt:lpstr>Baseline!Print_Titles</vt:lpstr>
      <vt:lpstr>'BCR.Balance sheet'!Print_Titles</vt:lpstr>
      <vt:lpstr>FT15.Index!Print_Titles</vt:lpstr>
      <vt:lpstr>'ICS.Balance sheet'!Print_Titles</vt:lpstr>
      <vt:lpstr>Version</vt:lpstr>
    </vt:vector>
  </TitlesOfParts>
  <Company>Bank for International Settlements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Vouette, Pierre-Jean</dc:creator>
  <cp:lastModifiedBy>Julie Davis</cp:lastModifiedBy>
  <cp:lastPrinted>2015-11-02T15:28:09Z</cp:lastPrinted>
  <dcterms:created xsi:type="dcterms:W3CDTF">2015-10-22T13:10:53Z</dcterms:created>
  <dcterms:modified xsi:type="dcterms:W3CDTF">2015-11-12T09:48:05Z</dcterms:modified>
</cp:coreProperties>
</file>